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d\Downloads\"/>
    </mc:Choice>
  </mc:AlternateContent>
  <xr:revisionPtr revIDLastSave="0" documentId="13_ncr:1_{C6CFD3CE-78F1-4539-BF3F-BDA5ACA87F1E}" xr6:coauthVersionLast="44" xr6:coauthVersionMax="44" xr10:uidLastSave="{00000000-0000-0000-0000-000000000000}"/>
  <bookViews>
    <workbookView xWindow="4968" yWindow="2652" windowWidth="17280" windowHeight="8994" firstSheet="17" activeTab="19" xr2:uid="{00000000-000D-0000-FFFF-FFFF00000000}"/>
  </bookViews>
  <sheets>
    <sheet name="Please Read First" sheetId="1" r:id="rId1"/>
    <sheet name="Startup Costs" sheetId="6" r:id="rId2"/>
    <sheet name="Plant &amp; Fish Production" sheetId="8" r:id="rId3"/>
    <sheet name="REV &amp; COGS" sheetId="9" r:id="rId4"/>
    <sheet name="Energy and Water" sheetId="7" r:id="rId5"/>
    <sheet name="Produce &amp; Fish Sales" sheetId="10" r:id="rId6"/>
    <sheet name="Scenarios" sheetId="5" r:id="rId7"/>
    <sheet name="Misc - Other Rev" sheetId="23" r:id="rId8"/>
    <sheet name="COGS Monthly" sheetId="25" r:id="rId9"/>
    <sheet name="Plant and IPM Supplies" sheetId="11" r:id="rId10"/>
    <sheet name="Distribution" sheetId="12" r:id="rId11"/>
    <sheet name="Marketing &amp; Adv" sheetId="13" r:id="rId12"/>
    <sheet name="Salaries and Training" sheetId="14" r:id="rId13"/>
    <sheet name="Water Quality" sheetId="15" r:id="rId14"/>
    <sheet name="Nutrients and Adjusters" sheetId="16" r:id="rId15"/>
    <sheet name="Office Supplies" sheetId="17" r:id="rId16"/>
    <sheet name="Other Operating exp" sheetId="18" r:id="rId17"/>
    <sheet name="Pro Forma Income Statement" sheetId="26" r:id="rId18"/>
    <sheet name="2 yr monthly cash flow" sheetId="3" r:id="rId19"/>
    <sheet name="Summary Data" sheetId="2" r:id="rId20"/>
    <sheet name="Report Tables" sheetId="19" state="hidden" r:id="rId21"/>
  </sheets>
  <externalReferences>
    <externalReference r:id="rId22"/>
  </externalReferences>
  <definedNames>
    <definedName name="factors">[1]Methods!$B$2:$B$7</definedName>
    <definedName name="methods">[1]Methods!$A$2:$A$7</definedName>
    <definedName name="noswitch">[1]Methods!$C$2:$C$7</definedName>
    <definedName name="_xlnm.Print_Area" localSheetId="17">'Pro Forma Income Statement'!$B$4:$H$56</definedName>
    <definedName name="valuevx">42.314159</definedName>
    <definedName name="vertex42_copyright" hidden="1">"© 2009-2017 Vertex42 LLC"</definedName>
    <definedName name="vertex42_id" hidden="1">"depreciation-schedule.xlsx"</definedName>
    <definedName name="vertex42_title" hidden="1">"Depreciation Schedule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8" l="1"/>
  <c r="N8" i="2" l="1"/>
  <c r="J9" i="6" l="1"/>
  <c r="A93" i="9" l="1"/>
  <c r="J92" i="7"/>
  <c r="L42" i="8"/>
  <c r="O42" i="8"/>
  <c r="M42" i="8"/>
  <c r="L22" i="8"/>
  <c r="H41" i="8"/>
  <c r="H40" i="8"/>
  <c r="H39" i="8"/>
  <c r="H38" i="8"/>
  <c r="H37" i="8"/>
  <c r="H36" i="8"/>
  <c r="H35" i="8"/>
  <c r="H34" i="8"/>
  <c r="H33" i="8"/>
  <c r="C76" i="8"/>
  <c r="F204" i="6"/>
  <c r="F203" i="6"/>
  <c r="F202" i="6"/>
  <c r="F201" i="6"/>
  <c r="F200" i="6"/>
  <c r="F199" i="6"/>
  <c r="F197" i="6"/>
  <c r="F196" i="6"/>
  <c r="F195" i="6"/>
  <c r="F194" i="6"/>
  <c r="F193" i="6"/>
  <c r="F192" i="6"/>
  <c r="F191" i="6"/>
  <c r="F190" i="6"/>
  <c r="F189" i="6"/>
  <c r="F188" i="6"/>
  <c r="F187" i="6"/>
  <c r="F186" i="6"/>
  <c r="F185" i="6"/>
  <c r="F184" i="6"/>
  <c r="F183" i="6"/>
  <c r="F182" i="6"/>
  <c r="F180" i="6"/>
  <c r="F179" i="6"/>
  <c r="F178" i="6"/>
  <c r="F177" i="6"/>
  <c r="F176" i="6"/>
  <c r="F175" i="6"/>
  <c r="F174" i="6"/>
  <c r="F173" i="6"/>
  <c r="F172" i="6"/>
  <c r="F171" i="6"/>
  <c r="F170" i="6"/>
  <c r="F169" i="6"/>
  <c r="F168" i="6"/>
  <c r="F167" i="6"/>
  <c r="F166" i="6"/>
  <c r="F165" i="6"/>
  <c r="F164" i="6"/>
  <c r="F162" i="6"/>
  <c r="F161" i="6"/>
  <c r="F160" i="6"/>
  <c r="F159" i="6"/>
  <c r="F158" i="6"/>
  <c r="F157" i="6"/>
  <c r="F156" i="6"/>
  <c r="F155" i="6"/>
  <c r="F154" i="6"/>
  <c r="F153" i="6"/>
  <c r="F152" i="6"/>
  <c r="F151" i="6"/>
  <c r="F150" i="6"/>
  <c r="F149" i="6"/>
  <c r="F148" i="6"/>
  <c r="F147" i="6"/>
  <c r="F145" i="6"/>
  <c r="F144" i="6"/>
  <c r="F143" i="6"/>
  <c r="F142" i="6"/>
  <c r="F141" i="6"/>
  <c r="F140" i="6"/>
  <c r="F139" i="6"/>
  <c r="F138" i="6"/>
  <c r="F137" i="6"/>
  <c r="F136" i="6"/>
  <c r="F135" i="6"/>
  <c r="F133" i="6"/>
  <c r="F132" i="6"/>
  <c r="F131" i="6"/>
  <c r="F130" i="6"/>
  <c r="F129" i="6"/>
  <c r="F128" i="6"/>
  <c r="F127" i="6"/>
  <c r="F126" i="6"/>
  <c r="F125" i="6"/>
  <c r="F123" i="6"/>
  <c r="F122" i="6"/>
  <c r="F121" i="6"/>
  <c r="F120" i="6"/>
  <c r="F119" i="6"/>
  <c r="F118" i="6"/>
  <c r="F117" i="6"/>
  <c r="F116" i="6"/>
  <c r="F115" i="6"/>
  <c r="F114" i="6"/>
  <c r="F113" i="6"/>
  <c r="F112" i="6"/>
  <c r="F111" i="6"/>
  <c r="F110" i="6"/>
  <c r="F108" i="6"/>
  <c r="F107" i="6"/>
  <c r="F106" i="6"/>
  <c r="F105" i="6"/>
  <c r="F104" i="6"/>
  <c r="F103" i="6"/>
  <c r="F102" i="6"/>
  <c r="F101" i="6"/>
  <c r="F100" i="6"/>
  <c r="F99" i="6"/>
  <c r="F97" i="6"/>
  <c r="F96" i="6"/>
  <c r="F95" i="6"/>
  <c r="F94" i="6"/>
  <c r="F93" i="6"/>
  <c r="F92" i="6"/>
  <c r="F91" i="6"/>
  <c r="F90" i="6"/>
  <c r="F89" i="6"/>
  <c r="F87" i="6"/>
  <c r="F85" i="6"/>
  <c r="F84" i="6"/>
  <c r="F83" i="6"/>
  <c r="F82" i="6"/>
  <c r="F81" i="6"/>
  <c r="F80" i="6"/>
  <c r="F79" i="6"/>
  <c r="F78" i="6"/>
  <c r="F77" i="6"/>
  <c r="F76" i="6"/>
  <c r="F75" i="6"/>
  <c r="F74" i="6"/>
  <c r="F73" i="6"/>
  <c r="F71" i="6"/>
  <c r="F70" i="6"/>
  <c r="F69" i="6"/>
  <c r="F68" i="6"/>
  <c r="F67" i="6"/>
  <c r="F66" i="6"/>
  <c r="F65" i="6"/>
  <c r="F64" i="6"/>
  <c r="F63" i="6"/>
  <c r="F62" i="6"/>
  <c r="F61" i="6"/>
  <c r="F60" i="6"/>
  <c r="F59" i="6"/>
  <c r="F58" i="6"/>
  <c r="F57" i="6"/>
  <c r="F56" i="6"/>
  <c r="F55" i="6"/>
  <c r="F54" i="6"/>
  <c r="F53" i="6"/>
  <c r="F51" i="6"/>
  <c r="F50" i="6"/>
  <c r="F49" i="6"/>
  <c r="F48" i="6"/>
  <c r="F47" i="6"/>
  <c r="F46" i="6"/>
  <c r="F45" i="6"/>
  <c r="F44" i="6"/>
  <c r="F43" i="6"/>
  <c r="F42" i="6"/>
  <c r="F41" i="6"/>
  <c r="F38" i="6"/>
  <c r="F37" i="6"/>
  <c r="F36" i="6"/>
  <c r="F35" i="6"/>
  <c r="F34" i="6"/>
  <c r="F33" i="6"/>
  <c r="F32" i="6"/>
  <c r="F31" i="6"/>
  <c r="F30" i="6"/>
  <c r="F29" i="6"/>
  <c r="F28" i="6"/>
  <c r="F27" i="6"/>
  <c r="F24" i="6"/>
  <c r="F23" i="6"/>
  <c r="F22" i="6"/>
  <c r="F21" i="6"/>
  <c r="F20" i="6"/>
  <c r="F19" i="6"/>
  <c r="F18" i="6"/>
  <c r="F17" i="6"/>
  <c r="F16" i="6"/>
  <c r="F15" i="6"/>
  <c r="F14" i="6"/>
  <c r="F13" i="6"/>
  <c r="F12" i="6"/>
  <c r="F11" i="6"/>
  <c r="G5" i="7"/>
  <c r="G70" i="7"/>
  <c r="G69" i="7"/>
  <c r="G68" i="7"/>
  <c r="G66" i="7"/>
  <c r="G65" i="7"/>
  <c r="F71" i="7"/>
  <c r="G71" i="7" s="1"/>
  <c r="G61" i="7"/>
  <c r="F61" i="7"/>
  <c r="N14" i="2"/>
  <c r="N15" i="2"/>
  <c r="N13" i="2"/>
  <c r="N7" i="2"/>
  <c r="N6" i="2"/>
  <c r="J31" i="2"/>
  <c r="I30" i="2"/>
  <c r="H9" i="2"/>
  <c r="H7" i="2"/>
  <c r="B34" i="5"/>
  <c r="B33" i="5"/>
  <c r="B27" i="5"/>
  <c r="B28" i="5"/>
  <c r="O92" i="9"/>
  <c r="P92" i="9"/>
  <c r="I72" i="9"/>
  <c r="I54" i="9"/>
  <c r="L6" i="9"/>
  <c r="J34" i="9"/>
  <c r="I34" i="9"/>
  <c r="J16" i="9"/>
  <c r="I16" i="9"/>
  <c r="G11" i="9"/>
  <c r="D11" i="9"/>
  <c r="C11" i="9"/>
  <c r="B11" i="9"/>
  <c r="P64" i="8"/>
  <c r="N64" i="8"/>
  <c r="P46" i="8"/>
  <c r="N46" i="8"/>
  <c r="M64" i="8"/>
  <c r="M46" i="8"/>
  <c r="L45" i="8"/>
  <c r="J64" i="8"/>
  <c r="J46" i="8"/>
  <c r="J27" i="8"/>
  <c r="J7" i="8"/>
  <c r="K8" i="8"/>
  <c r="K9" i="8"/>
  <c r="K10" i="8"/>
  <c r="K11" i="8"/>
  <c r="K12" i="8"/>
  <c r="K13" i="8"/>
  <c r="K14" i="8"/>
  <c r="K15" i="8"/>
  <c r="K16" i="8"/>
  <c r="K17" i="8"/>
  <c r="K18" i="8"/>
  <c r="K19" i="8"/>
  <c r="K20" i="8"/>
  <c r="K21" i="8"/>
  <c r="K28" i="8"/>
  <c r="K29" i="8"/>
  <c r="K30" i="8"/>
  <c r="K31" i="8"/>
  <c r="K32" i="8"/>
  <c r="K33" i="8"/>
  <c r="K34" i="8"/>
  <c r="K35" i="8"/>
  <c r="K36" i="8"/>
  <c r="K37" i="8"/>
  <c r="K38" i="8"/>
  <c r="K39" i="8"/>
  <c r="K40" i="8"/>
  <c r="K41" i="8"/>
  <c r="D52" i="8"/>
  <c r="D51" i="8"/>
  <c r="D44" i="8"/>
  <c r="D29" i="8"/>
  <c r="D27" i="8"/>
  <c r="D16" i="8"/>
  <c r="D13" i="8"/>
  <c r="D9" i="8"/>
  <c r="D7" i="8"/>
  <c r="G7" i="6"/>
  <c r="G4" i="6"/>
  <c r="G5" i="6"/>
  <c r="C64" i="8"/>
  <c r="D65" i="8"/>
  <c r="D76" i="8"/>
  <c r="D75" i="8"/>
  <c r="D74" i="8"/>
  <c r="D73" i="8"/>
  <c r="D71" i="8"/>
  <c r="D70" i="8"/>
  <c r="D69" i="8"/>
  <c r="D68" i="8"/>
  <c r="D67" i="8"/>
  <c r="D58" i="8"/>
  <c r="D57" i="8"/>
  <c r="D56" i="8"/>
  <c r="D53" i="8"/>
  <c r="D12" i="8"/>
  <c r="D11" i="8"/>
  <c r="D10" i="8"/>
  <c r="D8" i="8"/>
  <c r="K42" i="8" l="1"/>
  <c r="K22" i="8"/>
  <c r="C13" i="8"/>
  <c r="J20" i="8" l="1"/>
  <c r="J16" i="8"/>
  <c r="J12" i="8"/>
  <c r="J8" i="8"/>
  <c r="J38" i="8"/>
  <c r="J34" i="8"/>
  <c r="J30" i="8"/>
  <c r="J17" i="8"/>
  <c r="J19" i="8"/>
  <c r="J15" i="8"/>
  <c r="J11" i="8"/>
  <c r="J41" i="8"/>
  <c r="J37" i="8"/>
  <c r="J33" i="8"/>
  <c r="J29" i="8"/>
  <c r="J21" i="8"/>
  <c r="J9" i="8"/>
  <c r="J35" i="8"/>
  <c r="J18" i="8"/>
  <c r="J14" i="8"/>
  <c r="J10" i="8"/>
  <c r="J40" i="8"/>
  <c r="J36" i="8"/>
  <c r="J32" i="8"/>
  <c r="J28" i="8"/>
  <c r="C16" i="8"/>
  <c r="J13" i="8"/>
  <c r="J39" i="8"/>
  <c r="J31" i="8"/>
  <c r="F62" i="7"/>
  <c r="E53" i="6" l="1"/>
  <c r="E26" i="6"/>
  <c r="F26" i="6" s="1"/>
  <c r="E10" i="6"/>
  <c r="I33" i="6"/>
  <c r="I32" i="6"/>
  <c r="I31" i="6"/>
  <c r="I30" i="6"/>
  <c r="I29" i="6"/>
  <c r="I28" i="6"/>
  <c r="J14" i="6"/>
  <c r="L14" i="6" s="1"/>
  <c r="J15" i="6"/>
  <c r="L15" i="6" s="1"/>
  <c r="J16" i="6"/>
  <c r="L16" i="6" s="1"/>
  <c r="J17" i="6"/>
  <c r="L17" i="6" s="1"/>
  <c r="J18" i="6"/>
  <c r="L18" i="6" s="1"/>
  <c r="H24" i="14"/>
  <c r="H23" i="14"/>
  <c r="H22" i="14"/>
  <c r="H21" i="14"/>
  <c r="H20" i="14"/>
  <c r="H19" i="14"/>
  <c r="H18" i="14"/>
  <c r="F19" i="14"/>
  <c r="F20" i="14"/>
  <c r="F21" i="14"/>
  <c r="O21" i="14" s="1"/>
  <c r="F22" i="14"/>
  <c r="F23" i="14"/>
  <c r="O23" i="14" s="1"/>
  <c r="F24" i="14"/>
  <c r="O24" i="14" s="1"/>
  <c r="O22" i="14"/>
  <c r="O20" i="14"/>
  <c r="O19" i="14"/>
  <c r="Y34" i="3"/>
  <c r="X34" i="3"/>
  <c r="W34" i="3"/>
  <c r="V34" i="3"/>
  <c r="U34" i="3"/>
  <c r="T34" i="3"/>
  <c r="S34" i="3"/>
  <c r="R34" i="3"/>
  <c r="Q34" i="3"/>
  <c r="P34" i="3"/>
  <c r="O34" i="3"/>
  <c r="N34" i="3"/>
  <c r="M34" i="3"/>
  <c r="L34" i="3"/>
  <c r="K34" i="3"/>
  <c r="J34" i="3"/>
  <c r="I34" i="3"/>
  <c r="H34" i="3"/>
  <c r="G34" i="3"/>
  <c r="F34" i="3"/>
  <c r="E34" i="3"/>
  <c r="D34" i="3"/>
  <c r="C34" i="3"/>
  <c r="B34" i="3"/>
  <c r="Y29" i="3"/>
  <c r="X29" i="3"/>
  <c r="W29" i="3"/>
  <c r="V29" i="3"/>
  <c r="U29" i="3"/>
  <c r="T29" i="3"/>
  <c r="S29" i="3"/>
  <c r="R29" i="3"/>
  <c r="Q29" i="3"/>
  <c r="P29" i="3"/>
  <c r="O29" i="3"/>
  <c r="N29" i="3"/>
  <c r="M29" i="3"/>
  <c r="L29" i="3"/>
  <c r="K29" i="3"/>
  <c r="J29" i="3"/>
  <c r="I29" i="3"/>
  <c r="H29" i="3"/>
  <c r="G29" i="3"/>
  <c r="F29" i="3"/>
  <c r="E29" i="3"/>
  <c r="D29" i="3"/>
  <c r="C29" i="3"/>
  <c r="D10" i="18"/>
  <c r="C10" i="18"/>
  <c r="D5" i="18"/>
  <c r="Z29" i="18"/>
  <c r="Y29" i="18"/>
  <c r="X29" i="18"/>
  <c r="W29" i="18"/>
  <c r="V29" i="18"/>
  <c r="U29" i="18"/>
  <c r="T29" i="18"/>
  <c r="S29" i="18"/>
  <c r="R29" i="18"/>
  <c r="Q29" i="18"/>
  <c r="P29" i="18"/>
  <c r="O29" i="18"/>
  <c r="N29" i="18"/>
  <c r="M29" i="18"/>
  <c r="L29" i="18"/>
  <c r="K29" i="18"/>
  <c r="J29" i="18"/>
  <c r="I29" i="18"/>
  <c r="H29" i="18"/>
  <c r="G29" i="18"/>
  <c r="F29" i="18"/>
  <c r="E29" i="18"/>
  <c r="D29" i="18"/>
  <c r="C29" i="18"/>
  <c r="Z20" i="18"/>
  <c r="Y20" i="18"/>
  <c r="X20" i="18"/>
  <c r="W20" i="18"/>
  <c r="V20" i="18"/>
  <c r="U20" i="18"/>
  <c r="T20" i="18"/>
  <c r="S20" i="18"/>
  <c r="R20" i="18"/>
  <c r="Q20" i="18"/>
  <c r="P20" i="18"/>
  <c r="O20" i="18"/>
  <c r="N20" i="18"/>
  <c r="M20" i="18"/>
  <c r="L20" i="18"/>
  <c r="K20" i="18"/>
  <c r="J20" i="18"/>
  <c r="I20" i="18"/>
  <c r="H20" i="18"/>
  <c r="G20" i="18"/>
  <c r="F20" i="18"/>
  <c r="E20" i="18"/>
  <c r="D20" i="18"/>
  <c r="C20" i="18"/>
  <c r="C5" i="18" s="1"/>
  <c r="J28" i="6" l="1"/>
  <c r="F10" i="6"/>
  <c r="U16" i="6"/>
  <c r="Q16" i="6"/>
  <c r="U18" i="6"/>
  <c r="Q18" i="6"/>
  <c r="Q17" i="6"/>
  <c r="U15" i="6"/>
  <c r="Q15" i="6"/>
  <c r="U14" i="6"/>
  <c r="Q14" i="6"/>
  <c r="T18" i="6"/>
  <c r="T17" i="6"/>
  <c r="X16" i="6"/>
  <c r="P16" i="6"/>
  <c r="T15" i="6"/>
  <c r="X14" i="6"/>
  <c r="T14" i="6"/>
  <c r="W18" i="6"/>
  <c r="S18" i="6"/>
  <c r="O18" i="6"/>
  <c r="W17" i="6"/>
  <c r="S17" i="6"/>
  <c r="O17" i="6"/>
  <c r="W16" i="6"/>
  <c r="S16" i="6"/>
  <c r="O16" i="6"/>
  <c r="W15" i="6"/>
  <c r="S15" i="6"/>
  <c r="O15" i="6"/>
  <c r="W14" i="6"/>
  <c r="S14" i="6"/>
  <c r="O14" i="6"/>
  <c r="U17" i="6"/>
  <c r="X18" i="6"/>
  <c r="P18" i="6"/>
  <c r="X17" i="6"/>
  <c r="P17" i="6"/>
  <c r="T16" i="6"/>
  <c r="X15" i="6"/>
  <c r="P15" i="6"/>
  <c r="P14" i="6"/>
  <c r="V18" i="6"/>
  <c r="R18" i="6"/>
  <c r="V17" i="6"/>
  <c r="R17" i="6"/>
  <c r="V16" i="6"/>
  <c r="R16" i="6"/>
  <c r="V15" i="6"/>
  <c r="R15" i="6"/>
  <c r="V14" i="6"/>
  <c r="R14" i="6"/>
  <c r="B29" i="3"/>
  <c r="C19" i="8"/>
  <c r="P19" i="6" l="1"/>
  <c r="T19" i="6"/>
  <c r="U19" i="6"/>
  <c r="R19" i="6"/>
  <c r="S19" i="6"/>
  <c r="O19" i="6"/>
  <c r="X19" i="6"/>
  <c r="V19" i="6"/>
  <c r="W19" i="6"/>
  <c r="Q19" i="6"/>
  <c r="E10" i="18"/>
  <c r="F10" i="18" s="1"/>
  <c r="H36" i="26" s="1"/>
  <c r="E36" i="26"/>
  <c r="D9" i="18"/>
  <c r="E9" i="18" s="1"/>
  <c r="F9" i="18" s="1"/>
  <c r="H35" i="26" s="1"/>
  <c r="C9" i="18"/>
  <c r="E35" i="26" s="1"/>
  <c r="D8" i="18"/>
  <c r="E8" i="18" s="1"/>
  <c r="F8" i="18" s="1"/>
  <c r="H34" i="26" s="1"/>
  <c r="C8" i="18"/>
  <c r="E34" i="26" s="1"/>
  <c r="D7" i="18"/>
  <c r="E7" i="18" s="1"/>
  <c r="F7" i="18" s="1"/>
  <c r="H33" i="26" s="1"/>
  <c r="C7" i="18"/>
  <c r="E33" i="26" s="1"/>
  <c r="D6" i="18"/>
  <c r="E6" i="18" s="1"/>
  <c r="F6" i="18" s="1"/>
  <c r="H32" i="26" s="1"/>
  <c r="H52" i="26" s="1"/>
  <c r="C6" i="18"/>
  <c r="E32" i="26" s="1"/>
  <c r="E52" i="26" s="1"/>
  <c r="F31" i="26"/>
  <c r="E31" i="26"/>
  <c r="F27" i="26"/>
  <c r="E25" i="26"/>
  <c r="E7" i="11"/>
  <c r="D7" i="11"/>
  <c r="F7" i="11"/>
  <c r="G7" i="11" s="1"/>
  <c r="F6" i="11"/>
  <c r="G6" i="11" s="1"/>
  <c r="E6" i="11"/>
  <c r="D6" i="11"/>
  <c r="E5" i="11"/>
  <c r="F5" i="11" s="1"/>
  <c r="D5" i="11"/>
  <c r="F22" i="26"/>
  <c r="E22" i="26"/>
  <c r="B30" i="26"/>
  <c r="B29" i="26"/>
  <c r="B28" i="26"/>
  <c r="B27" i="26"/>
  <c r="B26" i="26"/>
  <c r="B25" i="26"/>
  <c r="B24" i="26"/>
  <c r="B23" i="26"/>
  <c r="B22" i="26"/>
  <c r="B16" i="26"/>
  <c r="B15" i="26"/>
  <c r="B11" i="26"/>
  <c r="B10" i="26"/>
  <c r="B9" i="26"/>
  <c r="H42" i="26"/>
  <c r="H48" i="26" s="1"/>
  <c r="G42" i="26"/>
  <c r="G48" i="26" s="1"/>
  <c r="F42" i="26"/>
  <c r="F48" i="26" s="1"/>
  <c r="E42" i="26"/>
  <c r="E48" i="26" s="1"/>
  <c r="B6" i="26"/>
  <c r="G5" i="11" l="1"/>
  <c r="G8" i="11" s="1"/>
  <c r="H23" i="26" s="1"/>
  <c r="F8" i="11"/>
  <c r="G23" i="26" s="1"/>
  <c r="E8" i="11"/>
  <c r="F23" i="26" s="1"/>
  <c r="D8" i="11"/>
  <c r="E23" i="26" s="1"/>
  <c r="F32" i="26"/>
  <c r="F52" i="26" s="1"/>
  <c r="F33" i="26"/>
  <c r="F34" i="26"/>
  <c r="F35" i="26"/>
  <c r="F36" i="26"/>
  <c r="G32" i="26"/>
  <c r="G52" i="26" s="1"/>
  <c r="G33" i="26"/>
  <c r="G34" i="26"/>
  <c r="G35" i="26"/>
  <c r="G36" i="26"/>
  <c r="B5" i="3"/>
  <c r="I41" i="2" s="1"/>
  <c r="A10" i="18"/>
  <c r="A9" i="18"/>
  <c r="A8" i="18"/>
  <c r="A7" i="18"/>
  <c r="A6" i="18"/>
  <c r="A5" i="18"/>
  <c r="Z27" i="17"/>
  <c r="Y27" i="17"/>
  <c r="X27" i="17"/>
  <c r="W27" i="17"/>
  <c r="V27" i="17"/>
  <c r="U27" i="17"/>
  <c r="T27" i="17"/>
  <c r="S27" i="17"/>
  <c r="R27" i="17"/>
  <c r="Q27" i="17"/>
  <c r="P27" i="17"/>
  <c r="O27" i="17"/>
  <c r="N27" i="17"/>
  <c r="M27" i="17"/>
  <c r="L27" i="17"/>
  <c r="K27" i="17"/>
  <c r="J27" i="17"/>
  <c r="I27" i="17"/>
  <c r="H27" i="17"/>
  <c r="G27" i="17"/>
  <c r="F27" i="17"/>
  <c r="E27" i="17"/>
  <c r="D27" i="17"/>
  <c r="C27" i="17"/>
  <c r="D13" i="17"/>
  <c r="E13" i="17" s="1"/>
  <c r="F13" i="17" s="1"/>
  <c r="C13" i="17"/>
  <c r="D12" i="17"/>
  <c r="E12" i="17" s="1"/>
  <c r="F12" i="17" s="1"/>
  <c r="C12" i="17"/>
  <c r="D11" i="17"/>
  <c r="E11" i="17" s="1"/>
  <c r="F11" i="17" s="1"/>
  <c r="C11" i="17"/>
  <c r="D10" i="17"/>
  <c r="E10" i="17" s="1"/>
  <c r="F10" i="17" s="1"/>
  <c r="C10" i="17"/>
  <c r="A13" i="17"/>
  <c r="A12" i="17"/>
  <c r="A11" i="17"/>
  <c r="A10" i="17"/>
  <c r="A9" i="17"/>
  <c r="A8" i="17"/>
  <c r="A7" i="17"/>
  <c r="A6" i="17"/>
  <c r="A5" i="17"/>
  <c r="D15" i="16"/>
  <c r="E15" i="16" s="1"/>
  <c r="F15" i="16" s="1"/>
  <c r="C15" i="16"/>
  <c r="D14" i="16"/>
  <c r="E14" i="16" s="1"/>
  <c r="F14" i="16" s="1"/>
  <c r="C14" i="16"/>
  <c r="D13" i="16"/>
  <c r="E13" i="16" s="1"/>
  <c r="F13" i="16" s="1"/>
  <c r="C13" i="16"/>
  <c r="D12" i="16"/>
  <c r="E12" i="16" s="1"/>
  <c r="F12" i="16" s="1"/>
  <c r="C12" i="16"/>
  <c r="D11" i="16"/>
  <c r="E11" i="16" s="1"/>
  <c r="F11" i="16" s="1"/>
  <c r="C11" i="16"/>
  <c r="D10" i="16"/>
  <c r="E10" i="16" s="1"/>
  <c r="F10" i="16" s="1"/>
  <c r="C10" i="16"/>
  <c r="D9" i="16"/>
  <c r="E9" i="16" s="1"/>
  <c r="F9" i="16" s="1"/>
  <c r="C9" i="16"/>
  <c r="D8" i="16"/>
  <c r="E8" i="16" s="1"/>
  <c r="F8" i="16" s="1"/>
  <c r="C8" i="16"/>
  <c r="D7" i="16"/>
  <c r="E7" i="16" s="1"/>
  <c r="F7" i="16" s="1"/>
  <c r="C7" i="16"/>
  <c r="D6" i="16"/>
  <c r="E6" i="16" s="1"/>
  <c r="F6" i="16" s="1"/>
  <c r="C6" i="16"/>
  <c r="D5" i="16"/>
  <c r="C5" i="16"/>
  <c r="D16" i="12"/>
  <c r="E16" i="12" s="1"/>
  <c r="F16" i="12" s="1"/>
  <c r="C16" i="12"/>
  <c r="D15" i="12"/>
  <c r="E15" i="12" s="1"/>
  <c r="F15" i="12" s="1"/>
  <c r="C15" i="12"/>
  <c r="D14" i="12"/>
  <c r="E14" i="12" s="1"/>
  <c r="F14" i="12" s="1"/>
  <c r="C14" i="12"/>
  <c r="D13" i="12"/>
  <c r="E13" i="12" s="1"/>
  <c r="F13" i="12" s="1"/>
  <c r="C13" i="12"/>
  <c r="D12" i="12"/>
  <c r="E12" i="12" s="1"/>
  <c r="F12" i="12" s="1"/>
  <c r="C12" i="12"/>
  <c r="D11" i="12"/>
  <c r="E11" i="12" s="1"/>
  <c r="F11" i="12" s="1"/>
  <c r="C11" i="12"/>
  <c r="D10" i="12"/>
  <c r="E10" i="12" s="1"/>
  <c r="F10" i="12" s="1"/>
  <c r="C10" i="12"/>
  <c r="D9" i="12"/>
  <c r="E9" i="12" s="1"/>
  <c r="F9" i="12" s="1"/>
  <c r="C9" i="12"/>
  <c r="A16" i="12"/>
  <c r="A15" i="12"/>
  <c r="A14" i="12"/>
  <c r="A13" i="12"/>
  <c r="A12" i="12"/>
  <c r="A11" i="12"/>
  <c r="A10" i="12"/>
  <c r="A9" i="12"/>
  <c r="A8" i="12"/>
  <c r="A7" i="12"/>
  <c r="A6" i="12"/>
  <c r="A5" i="12"/>
  <c r="E12" i="23"/>
  <c r="F12" i="23" s="1"/>
  <c r="D12" i="23"/>
  <c r="C12" i="23"/>
  <c r="E11" i="23"/>
  <c r="F11" i="23" s="1"/>
  <c r="D11" i="23"/>
  <c r="C11" i="23"/>
  <c r="E10" i="23"/>
  <c r="F10" i="23" s="1"/>
  <c r="D10" i="23"/>
  <c r="C10" i="23"/>
  <c r="E9" i="23"/>
  <c r="F9" i="23" s="1"/>
  <c r="D9" i="23"/>
  <c r="C9" i="23"/>
  <c r="E8" i="23"/>
  <c r="F8" i="23" s="1"/>
  <c r="D8" i="23"/>
  <c r="C8" i="23"/>
  <c r="E7" i="23"/>
  <c r="F7" i="23" s="1"/>
  <c r="D7" i="23"/>
  <c r="C7" i="23"/>
  <c r="D6" i="23"/>
  <c r="E6" i="23" s="1"/>
  <c r="F6" i="23" s="1"/>
  <c r="C6" i="23"/>
  <c r="D12" i="13"/>
  <c r="E12" i="13" s="1"/>
  <c r="F12" i="13" s="1"/>
  <c r="C12" i="13"/>
  <c r="D11" i="13"/>
  <c r="E11" i="13" s="1"/>
  <c r="F11" i="13" s="1"/>
  <c r="C11" i="13"/>
  <c r="D10" i="13"/>
  <c r="E10" i="13" s="1"/>
  <c r="F10" i="13" s="1"/>
  <c r="C10" i="13"/>
  <c r="D9" i="13"/>
  <c r="E9" i="13" s="1"/>
  <c r="F9" i="13" s="1"/>
  <c r="C9" i="13"/>
  <c r="D8" i="13"/>
  <c r="E8" i="13" s="1"/>
  <c r="F8" i="13" s="1"/>
  <c r="C8" i="13"/>
  <c r="D7" i="13"/>
  <c r="E7" i="13" s="1"/>
  <c r="F7" i="13" s="1"/>
  <c r="C7" i="13"/>
  <c r="D6" i="13"/>
  <c r="E6" i="13" s="1"/>
  <c r="F6" i="13" s="1"/>
  <c r="C6" i="13"/>
  <c r="D5" i="13"/>
  <c r="C5" i="13"/>
  <c r="D20" i="15"/>
  <c r="E20" i="15" s="1"/>
  <c r="F20" i="15" s="1"/>
  <c r="C20" i="15"/>
  <c r="D19" i="15"/>
  <c r="E19" i="15" s="1"/>
  <c r="F19" i="15" s="1"/>
  <c r="C19" i="15"/>
  <c r="D18" i="15"/>
  <c r="E18" i="15" s="1"/>
  <c r="F18" i="15" s="1"/>
  <c r="C18" i="15"/>
  <c r="D17" i="15"/>
  <c r="E17" i="15" s="1"/>
  <c r="F17" i="15" s="1"/>
  <c r="C17" i="15"/>
  <c r="C16" i="15"/>
  <c r="Z31" i="16"/>
  <c r="Y31" i="16"/>
  <c r="X31" i="16"/>
  <c r="W31" i="16"/>
  <c r="V31" i="16"/>
  <c r="U31" i="16"/>
  <c r="T31" i="16"/>
  <c r="S31" i="16"/>
  <c r="R31" i="16"/>
  <c r="Q31" i="16"/>
  <c r="P31" i="16"/>
  <c r="O31" i="16"/>
  <c r="N31" i="16"/>
  <c r="M31" i="16"/>
  <c r="L31" i="16"/>
  <c r="K31" i="16"/>
  <c r="J31" i="16"/>
  <c r="I31" i="16"/>
  <c r="H31" i="16"/>
  <c r="G31" i="16"/>
  <c r="F31" i="16"/>
  <c r="E31" i="16"/>
  <c r="D31" i="16"/>
  <c r="C31" i="16"/>
  <c r="A15" i="16"/>
  <c r="A14" i="16"/>
  <c r="A13" i="16"/>
  <c r="A12" i="16"/>
  <c r="A11" i="16"/>
  <c r="A10" i="16"/>
  <c r="A9" i="16"/>
  <c r="A8" i="16"/>
  <c r="A7" i="16"/>
  <c r="A6" i="16"/>
  <c r="A5" i="16"/>
  <c r="Z41" i="15"/>
  <c r="Y41" i="15"/>
  <c r="X41" i="15"/>
  <c r="W41" i="15"/>
  <c r="V41" i="15"/>
  <c r="U41" i="15"/>
  <c r="T41" i="15"/>
  <c r="S41" i="15"/>
  <c r="R41" i="15"/>
  <c r="Q41" i="15"/>
  <c r="P41" i="15"/>
  <c r="O41" i="15"/>
  <c r="N41" i="15"/>
  <c r="M41" i="15"/>
  <c r="L41" i="15"/>
  <c r="K41" i="15"/>
  <c r="J41" i="15"/>
  <c r="I41" i="15"/>
  <c r="H41" i="15"/>
  <c r="G41" i="15"/>
  <c r="F41" i="15"/>
  <c r="E41" i="15"/>
  <c r="D41" i="15"/>
  <c r="C41" i="15"/>
  <c r="A20" i="15"/>
  <c r="A19" i="15"/>
  <c r="A18" i="15"/>
  <c r="A17" i="15"/>
  <c r="A16" i="15"/>
  <c r="A15" i="15"/>
  <c r="A14" i="15"/>
  <c r="A13" i="15"/>
  <c r="A12" i="15"/>
  <c r="A11" i="15"/>
  <c r="A10" i="15"/>
  <c r="A9" i="15"/>
  <c r="A8" i="15"/>
  <c r="A7" i="15"/>
  <c r="A6" i="15"/>
  <c r="A5" i="15"/>
  <c r="A33" i="14"/>
  <c r="A10" i="14" s="1"/>
  <c r="A34" i="14"/>
  <c r="A11" i="14" s="1"/>
  <c r="A32" i="14"/>
  <c r="A9" i="14" s="1"/>
  <c r="A31" i="14"/>
  <c r="A30" i="14"/>
  <c r="A7" i="14" s="1"/>
  <c r="A29" i="14"/>
  <c r="A6" i="14" s="1"/>
  <c r="A28" i="14"/>
  <c r="G24" i="14"/>
  <c r="N24" i="14" s="1"/>
  <c r="A8" i="14"/>
  <c r="A5" i="14"/>
  <c r="G23" i="14"/>
  <c r="N23" i="14" s="1"/>
  <c r="G22" i="14"/>
  <c r="N22" i="14" s="1"/>
  <c r="A12" i="13"/>
  <c r="A11" i="13"/>
  <c r="A10" i="13"/>
  <c r="A9" i="13"/>
  <c r="A8" i="13"/>
  <c r="A7" i="13"/>
  <c r="A6" i="13"/>
  <c r="A5" i="13"/>
  <c r="A12" i="23"/>
  <c r="A11" i="23"/>
  <c r="A10" i="23"/>
  <c r="A8" i="23"/>
  <c r="A7" i="23"/>
  <c r="A6" i="23"/>
  <c r="A5" i="23"/>
  <c r="A9" i="23"/>
  <c r="C16" i="16" l="1"/>
  <c r="D16" i="16"/>
  <c r="AK12" i="7"/>
  <c r="K17" i="7"/>
  <c r="K18" i="7"/>
  <c r="K19" i="7"/>
  <c r="K20" i="7"/>
  <c r="K21" i="7"/>
  <c r="K22" i="7"/>
  <c r="K23" i="7"/>
  <c r="K24" i="7"/>
  <c r="K25" i="7"/>
  <c r="H25" i="7" s="1"/>
  <c r="Y11" i="3"/>
  <c r="X11" i="3"/>
  <c r="W11" i="3"/>
  <c r="V11" i="3"/>
  <c r="U11" i="3"/>
  <c r="T11" i="3"/>
  <c r="S11" i="3"/>
  <c r="R11" i="3"/>
  <c r="Q11" i="3"/>
  <c r="P11" i="3"/>
  <c r="O11" i="3"/>
  <c r="D25" i="23"/>
  <c r="C11" i="3" s="1"/>
  <c r="C25" i="23"/>
  <c r="B11" i="3" s="1"/>
  <c r="E25" i="23"/>
  <c r="D11" i="3" s="1"/>
  <c r="E5" i="23"/>
  <c r="F5" i="23" s="1"/>
  <c r="D5" i="23"/>
  <c r="C5" i="23"/>
  <c r="L24" i="7" l="1"/>
  <c r="M24" i="7" s="1"/>
  <c r="N24" i="7" s="1"/>
  <c r="H24" i="7"/>
  <c r="L20" i="7"/>
  <c r="M20" i="7" s="1"/>
  <c r="N20" i="7" s="1"/>
  <c r="H20" i="7"/>
  <c r="L23" i="7"/>
  <c r="M23" i="7" s="1"/>
  <c r="N23" i="7" s="1"/>
  <c r="H23" i="7"/>
  <c r="L19" i="7"/>
  <c r="M19" i="7" s="1"/>
  <c r="N19" i="7" s="1"/>
  <c r="H19" i="7"/>
  <c r="L22" i="7"/>
  <c r="M22" i="7" s="1"/>
  <c r="N22" i="7" s="1"/>
  <c r="H22" i="7"/>
  <c r="L18" i="7"/>
  <c r="M18" i="7" s="1"/>
  <c r="N18" i="7" s="1"/>
  <c r="H18" i="7"/>
  <c r="L21" i="7"/>
  <c r="M21" i="7" s="1"/>
  <c r="N21" i="7" s="1"/>
  <c r="H21" i="7"/>
  <c r="L17" i="7"/>
  <c r="K26" i="7"/>
  <c r="H17" i="7"/>
  <c r="L25" i="7"/>
  <c r="M25" i="7" s="1"/>
  <c r="N25" i="7" s="1"/>
  <c r="N25" i="23"/>
  <c r="M11" i="3" s="1"/>
  <c r="K25" i="23"/>
  <c r="J11" i="3" s="1"/>
  <c r="O25" i="23"/>
  <c r="N11" i="3" s="1"/>
  <c r="F25" i="23"/>
  <c r="E11" i="3" s="1"/>
  <c r="H25" i="23"/>
  <c r="G11" i="3" s="1"/>
  <c r="L25" i="23"/>
  <c r="K11" i="3" s="1"/>
  <c r="M17" i="7" l="1"/>
  <c r="L26" i="7"/>
  <c r="M25" i="23"/>
  <c r="L11" i="3" s="1"/>
  <c r="G25" i="23"/>
  <c r="F11" i="3" s="1"/>
  <c r="J25" i="23"/>
  <c r="I11" i="3" s="1"/>
  <c r="C13" i="23"/>
  <c r="I25" i="23"/>
  <c r="H11" i="3" s="1"/>
  <c r="C61" i="8"/>
  <c r="C62" i="8" s="1"/>
  <c r="B10" i="9" l="1"/>
  <c r="F10" i="9" s="1"/>
  <c r="N17" i="7"/>
  <c r="N26" i="7" s="1"/>
  <c r="M26" i="7"/>
  <c r="E11" i="26"/>
  <c r="P25" i="23"/>
  <c r="I22" i="2" l="1"/>
  <c r="Q25" i="23"/>
  <c r="J78" i="8"/>
  <c r="J77" i="8"/>
  <c r="J76" i="8"/>
  <c r="J75" i="8"/>
  <c r="J74" i="8"/>
  <c r="J73" i="8"/>
  <c r="J72" i="8"/>
  <c r="J71" i="8"/>
  <c r="J70" i="8"/>
  <c r="J69" i="8"/>
  <c r="J68" i="8"/>
  <c r="J67" i="8"/>
  <c r="J66" i="8"/>
  <c r="J65" i="8"/>
  <c r="J60" i="8"/>
  <c r="J59" i="8"/>
  <c r="J58" i="8"/>
  <c r="J57" i="8"/>
  <c r="J56" i="8"/>
  <c r="J55" i="8"/>
  <c r="J54" i="8"/>
  <c r="J53" i="8"/>
  <c r="J52" i="8"/>
  <c r="J51" i="8"/>
  <c r="J50" i="8"/>
  <c r="J49" i="8"/>
  <c r="J48" i="8"/>
  <c r="J47" i="8"/>
  <c r="G85" i="7"/>
  <c r="E8" i="2"/>
  <c r="R25" i="23" l="1"/>
  <c r="S25" i="23" l="1"/>
  <c r="F54" i="26"/>
  <c r="H54" i="26"/>
  <c r="G54" i="26"/>
  <c r="E54" i="26"/>
  <c r="T25" i="23" l="1"/>
  <c r="H106" i="9"/>
  <c r="N106" i="9" s="1"/>
  <c r="H105" i="9"/>
  <c r="N105" i="9" s="1"/>
  <c r="H104" i="9"/>
  <c r="N104" i="9" s="1"/>
  <c r="H103" i="9"/>
  <c r="N103" i="9" s="1"/>
  <c r="H102" i="9"/>
  <c r="N102" i="9" s="1"/>
  <c r="H101" i="9"/>
  <c r="N101" i="9" s="1"/>
  <c r="H100" i="9"/>
  <c r="N100" i="9" s="1"/>
  <c r="H99" i="9"/>
  <c r="N99" i="9" s="1"/>
  <c r="H98" i="9"/>
  <c r="N98" i="9" s="1"/>
  <c r="G106" i="9"/>
  <c r="G105" i="9"/>
  <c r="G104" i="9"/>
  <c r="G103" i="9"/>
  <c r="G102" i="9"/>
  <c r="G101" i="9"/>
  <c r="G100" i="9"/>
  <c r="G99" i="9"/>
  <c r="G98" i="9"/>
  <c r="G96" i="9"/>
  <c r="H96" i="9" s="1"/>
  <c r="N96" i="9" s="1"/>
  <c r="G95" i="9"/>
  <c r="H95" i="9" s="1"/>
  <c r="N95" i="9" s="1"/>
  <c r="G94" i="9"/>
  <c r="G93" i="9"/>
  <c r="H93" i="9" s="1"/>
  <c r="G97" i="9"/>
  <c r="H97" i="9" s="1"/>
  <c r="N97" i="9" s="1"/>
  <c r="L86" i="9"/>
  <c r="L85" i="9"/>
  <c r="L84" i="9"/>
  <c r="L83" i="9"/>
  <c r="L82" i="9"/>
  <c r="L81" i="9"/>
  <c r="L80" i="9"/>
  <c r="L79" i="9"/>
  <c r="L78" i="9"/>
  <c r="L77" i="9"/>
  <c r="L76" i="9"/>
  <c r="L75" i="9"/>
  <c r="L74" i="9"/>
  <c r="L73" i="9"/>
  <c r="L68" i="9"/>
  <c r="L67" i="9"/>
  <c r="L66" i="9"/>
  <c r="L65" i="9"/>
  <c r="L64" i="9"/>
  <c r="L63" i="9"/>
  <c r="L62" i="9"/>
  <c r="L61" i="9"/>
  <c r="L60" i="9"/>
  <c r="L59" i="9"/>
  <c r="L58" i="9"/>
  <c r="L57" i="9"/>
  <c r="L56" i="9"/>
  <c r="L55" i="9"/>
  <c r="M68" i="9"/>
  <c r="M67" i="9"/>
  <c r="M66" i="9"/>
  <c r="M65" i="9"/>
  <c r="M64" i="9"/>
  <c r="M63" i="9"/>
  <c r="M62" i="9"/>
  <c r="M61" i="9"/>
  <c r="M60" i="9"/>
  <c r="M59" i="9"/>
  <c r="M86" i="9"/>
  <c r="M85" i="9"/>
  <c r="M84" i="9"/>
  <c r="M83" i="9"/>
  <c r="M82" i="9"/>
  <c r="M81" i="9"/>
  <c r="M80" i="9"/>
  <c r="M79" i="9"/>
  <c r="M78" i="9"/>
  <c r="M77" i="9"/>
  <c r="M76" i="9"/>
  <c r="M75" i="9"/>
  <c r="G86" i="9"/>
  <c r="H86" i="9" s="1"/>
  <c r="N86" i="9" s="1"/>
  <c r="O86" i="9" s="1"/>
  <c r="D86" i="9"/>
  <c r="F86" i="9" s="1"/>
  <c r="G85" i="9"/>
  <c r="H85" i="9" s="1"/>
  <c r="N85" i="9" s="1"/>
  <c r="O85" i="9" s="1"/>
  <c r="D85" i="9"/>
  <c r="F85" i="9" s="1"/>
  <c r="G84" i="9"/>
  <c r="H84" i="9" s="1"/>
  <c r="N84" i="9" s="1"/>
  <c r="O84" i="9" s="1"/>
  <c r="D84" i="9"/>
  <c r="F84" i="9" s="1"/>
  <c r="G83" i="9"/>
  <c r="H83" i="9" s="1"/>
  <c r="N83" i="9" s="1"/>
  <c r="O83" i="9" s="1"/>
  <c r="D83" i="9"/>
  <c r="F83" i="9" s="1"/>
  <c r="G82" i="9"/>
  <c r="H82" i="9" s="1"/>
  <c r="N82" i="9" s="1"/>
  <c r="O82" i="9" s="1"/>
  <c r="D82" i="9"/>
  <c r="F82" i="9" s="1"/>
  <c r="G81" i="9"/>
  <c r="H81" i="9" s="1"/>
  <c r="N81" i="9" s="1"/>
  <c r="O81" i="9" s="1"/>
  <c r="D81" i="9"/>
  <c r="F81" i="9" s="1"/>
  <c r="G80" i="9"/>
  <c r="H80" i="9" s="1"/>
  <c r="N80" i="9" s="1"/>
  <c r="O80" i="9" s="1"/>
  <c r="D80" i="9"/>
  <c r="F80" i="9" s="1"/>
  <c r="G79" i="9"/>
  <c r="H79" i="9" s="1"/>
  <c r="N79" i="9" s="1"/>
  <c r="O79" i="9" s="1"/>
  <c r="F79" i="9"/>
  <c r="D79" i="9"/>
  <c r="G78" i="9"/>
  <c r="H78" i="9" s="1"/>
  <c r="N78" i="9" s="1"/>
  <c r="O78" i="9" s="1"/>
  <c r="D78" i="9"/>
  <c r="F78" i="9" s="1"/>
  <c r="G77" i="9"/>
  <c r="H77" i="9" s="1"/>
  <c r="N77" i="9" s="1"/>
  <c r="O77" i="9" s="1"/>
  <c r="D77" i="9"/>
  <c r="F77" i="9" s="1"/>
  <c r="G76" i="9"/>
  <c r="H76" i="9" s="1"/>
  <c r="N76" i="9" s="1"/>
  <c r="O76" i="9" s="1"/>
  <c r="D76" i="9"/>
  <c r="F76" i="9" s="1"/>
  <c r="G75" i="9"/>
  <c r="D75" i="9"/>
  <c r="G74" i="9"/>
  <c r="G73" i="9"/>
  <c r="D73" i="9"/>
  <c r="D58" i="9"/>
  <c r="G58" i="9"/>
  <c r="G68" i="9"/>
  <c r="H68" i="9" s="1"/>
  <c r="N68" i="9" s="1"/>
  <c r="Q68" i="9" s="1"/>
  <c r="R68" i="9" s="1"/>
  <c r="G67" i="9"/>
  <c r="H67" i="9" s="1"/>
  <c r="N67" i="9" s="1"/>
  <c r="Q67" i="9" s="1"/>
  <c r="R67" i="9" s="1"/>
  <c r="G66" i="9"/>
  <c r="H66" i="9" s="1"/>
  <c r="N66" i="9" s="1"/>
  <c r="Q66" i="9" s="1"/>
  <c r="R66" i="9" s="1"/>
  <c r="G65" i="9"/>
  <c r="H65" i="9" s="1"/>
  <c r="N65" i="9" s="1"/>
  <c r="Q65" i="9" s="1"/>
  <c r="R65" i="9" s="1"/>
  <c r="G64" i="9"/>
  <c r="H64" i="9" s="1"/>
  <c r="N64" i="9" s="1"/>
  <c r="Q64" i="9" s="1"/>
  <c r="R64" i="9" s="1"/>
  <c r="G63" i="9"/>
  <c r="H63" i="9" s="1"/>
  <c r="N63" i="9" s="1"/>
  <c r="Q63" i="9" s="1"/>
  <c r="R63" i="9" s="1"/>
  <c r="G62" i="9"/>
  <c r="H62" i="9" s="1"/>
  <c r="N62" i="9" s="1"/>
  <c r="Q62" i="9" s="1"/>
  <c r="R62" i="9" s="1"/>
  <c r="G61" i="9"/>
  <c r="H61" i="9" s="1"/>
  <c r="N61" i="9" s="1"/>
  <c r="Q61" i="9" s="1"/>
  <c r="R61" i="9" s="1"/>
  <c r="G60" i="9"/>
  <c r="H60" i="9" s="1"/>
  <c r="N60" i="9" s="1"/>
  <c r="Q60" i="9" s="1"/>
  <c r="R60" i="9" s="1"/>
  <c r="G59" i="9"/>
  <c r="H59" i="9" s="1"/>
  <c r="N59" i="9" s="1"/>
  <c r="Q59" i="9" s="1"/>
  <c r="R59" i="9" s="1"/>
  <c r="G57" i="9"/>
  <c r="G56" i="9"/>
  <c r="G55" i="9"/>
  <c r="N40" i="9"/>
  <c r="N41" i="9"/>
  <c r="N42" i="9"/>
  <c r="N43" i="9"/>
  <c r="N44" i="9"/>
  <c r="N45" i="9"/>
  <c r="N46" i="9"/>
  <c r="N47" i="9"/>
  <c r="N48" i="9"/>
  <c r="F65" i="9"/>
  <c r="F61" i="9"/>
  <c r="D68" i="9"/>
  <c r="F68" i="9" s="1"/>
  <c r="D67" i="9"/>
  <c r="F67" i="9" s="1"/>
  <c r="D66" i="9"/>
  <c r="F66" i="9" s="1"/>
  <c r="D65" i="9"/>
  <c r="D64" i="9"/>
  <c r="F64" i="9" s="1"/>
  <c r="D63" i="9"/>
  <c r="F63" i="9" s="1"/>
  <c r="D62" i="9"/>
  <c r="F62" i="9" s="1"/>
  <c r="D61" i="9"/>
  <c r="D60" i="9"/>
  <c r="F60" i="9" s="1"/>
  <c r="D59" i="9"/>
  <c r="F59" i="9" s="1"/>
  <c r="D57" i="9"/>
  <c r="D56" i="9"/>
  <c r="D55" i="9"/>
  <c r="M48" i="9"/>
  <c r="M47" i="9"/>
  <c r="M46" i="9"/>
  <c r="M45" i="9"/>
  <c r="M44" i="9"/>
  <c r="M43" i="9"/>
  <c r="M42" i="9"/>
  <c r="M41" i="9"/>
  <c r="M40" i="9"/>
  <c r="M39" i="9"/>
  <c r="M38" i="9"/>
  <c r="M37" i="9"/>
  <c r="M36" i="9"/>
  <c r="M35" i="9"/>
  <c r="G48" i="9"/>
  <c r="H48" i="9" s="1"/>
  <c r="J48" i="9" s="1"/>
  <c r="D48" i="9"/>
  <c r="F48" i="9" s="1"/>
  <c r="G47" i="9"/>
  <c r="H47" i="9" s="1"/>
  <c r="J47" i="9" s="1"/>
  <c r="D47" i="9"/>
  <c r="F47" i="9" s="1"/>
  <c r="G46" i="9"/>
  <c r="H46" i="9" s="1"/>
  <c r="D46" i="9"/>
  <c r="F46" i="9" s="1"/>
  <c r="G45" i="9"/>
  <c r="H45" i="9" s="1"/>
  <c r="J45" i="9" s="1"/>
  <c r="D45" i="9"/>
  <c r="F45" i="9" s="1"/>
  <c r="G44" i="9"/>
  <c r="H44" i="9" s="1"/>
  <c r="J44" i="9" s="1"/>
  <c r="F44" i="9"/>
  <c r="D44" i="9"/>
  <c r="G43" i="9"/>
  <c r="H43" i="9" s="1"/>
  <c r="J43" i="9" s="1"/>
  <c r="F43" i="9"/>
  <c r="D43" i="9"/>
  <c r="G42" i="9"/>
  <c r="H42" i="9" s="1"/>
  <c r="D42" i="9"/>
  <c r="F42" i="9" s="1"/>
  <c r="G41" i="9"/>
  <c r="H41" i="9" s="1"/>
  <c r="J41" i="9" s="1"/>
  <c r="D41" i="9"/>
  <c r="F41" i="9" s="1"/>
  <c r="G40" i="9"/>
  <c r="H40" i="9" s="1"/>
  <c r="J40" i="9" s="1"/>
  <c r="D40" i="9"/>
  <c r="F40" i="9" s="1"/>
  <c r="G39" i="9"/>
  <c r="G38" i="9"/>
  <c r="G37" i="9"/>
  <c r="G36" i="9"/>
  <c r="G35" i="9"/>
  <c r="N30" i="9"/>
  <c r="N29" i="9"/>
  <c r="N28" i="9"/>
  <c r="N27" i="9"/>
  <c r="N26" i="9"/>
  <c r="N25" i="9"/>
  <c r="N24" i="9"/>
  <c r="N23" i="9"/>
  <c r="M41" i="8"/>
  <c r="M40" i="8"/>
  <c r="M39" i="8"/>
  <c r="M38" i="8"/>
  <c r="M37" i="8"/>
  <c r="M36" i="8"/>
  <c r="M35" i="8"/>
  <c r="M34" i="8"/>
  <c r="M33" i="8"/>
  <c r="M32" i="8"/>
  <c r="M31" i="8"/>
  <c r="M30" i="8"/>
  <c r="E37" i="9" s="1"/>
  <c r="M29" i="8"/>
  <c r="M28" i="8"/>
  <c r="M21" i="8"/>
  <c r="O21" i="8" s="1"/>
  <c r="M20" i="8"/>
  <c r="O20" i="8" s="1"/>
  <c r="M19" i="8"/>
  <c r="O19" i="8" s="1"/>
  <c r="M18" i="8"/>
  <c r="M17" i="8"/>
  <c r="O17" i="8" s="1"/>
  <c r="M16" i="8"/>
  <c r="O16" i="8" s="1"/>
  <c r="M15" i="8"/>
  <c r="O15" i="8" s="1"/>
  <c r="M14" i="8"/>
  <c r="M12" i="8"/>
  <c r="O12" i="8" s="1"/>
  <c r="M11" i="8"/>
  <c r="O11" i="8" s="1"/>
  <c r="M10" i="8"/>
  <c r="O10" i="8" s="1"/>
  <c r="M9" i="8"/>
  <c r="M8" i="8"/>
  <c r="O8" i="8" s="1"/>
  <c r="M13" i="8"/>
  <c r="G30" i="9"/>
  <c r="H30" i="9" s="1"/>
  <c r="J30" i="9" s="1"/>
  <c r="G29" i="9"/>
  <c r="H29" i="9" s="1"/>
  <c r="G28" i="9"/>
  <c r="H28" i="9" s="1"/>
  <c r="G27" i="9"/>
  <c r="H27" i="9" s="1"/>
  <c r="J27" i="9" s="1"/>
  <c r="G26" i="9"/>
  <c r="H26" i="9" s="1"/>
  <c r="J26" i="9" s="1"/>
  <c r="G25" i="9"/>
  <c r="H25" i="9" s="1"/>
  <c r="J25" i="9" s="1"/>
  <c r="G24" i="9"/>
  <c r="H24" i="9" s="1"/>
  <c r="G23" i="9"/>
  <c r="H23" i="9" s="1"/>
  <c r="J23" i="9" s="1"/>
  <c r="G22" i="9"/>
  <c r="G21" i="9"/>
  <c r="G20" i="9"/>
  <c r="G19" i="9"/>
  <c r="G18" i="9"/>
  <c r="G17" i="9"/>
  <c r="H21" i="8"/>
  <c r="H20" i="8"/>
  <c r="H19" i="8"/>
  <c r="H18" i="8"/>
  <c r="H16" i="8"/>
  <c r="H15" i="8"/>
  <c r="H14" i="8"/>
  <c r="H78" i="8"/>
  <c r="H77" i="8"/>
  <c r="H76" i="8"/>
  <c r="H75" i="8"/>
  <c r="H74" i="8"/>
  <c r="H73" i="8"/>
  <c r="H72" i="8"/>
  <c r="H71" i="8"/>
  <c r="H70" i="8"/>
  <c r="H69" i="8"/>
  <c r="H68" i="8"/>
  <c r="H60" i="8"/>
  <c r="H59" i="8"/>
  <c r="H58" i="8"/>
  <c r="H57" i="8"/>
  <c r="H56" i="8"/>
  <c r="H55" i="8"/>
  <c r="H54" i="8"/>
  <c r="H53" i="8"/>
  <c r="H52" i="8"/>
  <c r="I95" i="8"/>
  <c r="J95" i="8" s="1"/>
  <c r="L95" i="8" s="1"/>
  <c r="I94" i="8"/>
  <c r="J94" i="8" s="1"/>
  <c r="L94" i="8" s="1"/>
  <c r="I93" i="8"/>
  <c r="J93" i="8" s="1"/>
  <c r="L93" i="8" s="1"/>
  <c r="I92" i="8"/>
  <c r="J92" i="8" s="1"/>
  <c r="L92" i="8" s="1"/>
  <c r="I91" i="8"/>
  <c r="J91" i="8" s="1"/>
  <c r="L91" i="8" s="1"/>
  <c r="I90" i="8"/>
  <c r="J90" i="8" s="1"/>
  <c r="L90" i="8" s="1"/>
  <c r="I89" i="8"/>
  <c r="J89" i="8" s="1"/>
  <c r="L89" i="8" s="1"/>
  <c r="I88" i="8"/>
  <c r="J88" i="8" s="1"/>
  <c r="L88" i="8" s="1"/>
  <c r="I87" i="8"/>
  <c r="J87" i="8" s="1"/>
  <c r="L87" i="8" s="1"/>
  <c r="I85" i="8"/>
  <c r="J85" i="8" s="1"/>
  <c r="L85" i="8" s="1"/>
  <c r="I84" i="8"/>
  <c r="J84" i="8" s="1"/>
  <c r="L84" i="8" s="1"/>
  <c r="I83" i="8"/>
  <c r="J83" i="8" s="1"/>
  <c r="L83" i="8" s="1"/>
  <c r="I82" i="8"/>
  <c r="J82" i="8" s="1"/>
  <c r="L82" i="8" s="1"/>
  <c r="I86" i="8"/>
  <c r="J86" i="8" s="1"/>
  <c r="L86" i="8" s="1"/>
  <c r="L78" i="8"/>
  <c r="N78" i="8" s="1"/>
  <c r="P78" i="8" s="1"/>
  <c r="I86" i="9" s="1"/>
  <c r="L77" i="8"/>
  <c r="N77" i="8" s="1"/>
  <c r="P77" i="8" s="1"/>
  <c r="I85" i="9" s="1"/>
  <c r="L76" i="8"/>
  <c r="E84" i="9" s="1"/>
  <c r="L75" i="8"/>
  <c r="N75" i="8" s="1"/>
  <c r="P75" i="8" s="1"/>
  <c r="I83" i="9" s="1"/>
  <c r="L74" i="8"/>
  <c r="E82" i="9" s="1"/>
  <c r="L73" i="8"/>
  <c r="N73" i="8" s="1"/>
  <c r="P73" i="8" s="1"/>
  <c r="I81" i="9" s="1"/>
  <c r="L72" i="8"/>
  <c r="E80" i="9" s="1"/>
  <c r="L71" i="8"/>
  <c r="N71" i="8" s="1"/>
  <c r="P71" i="8" s="1"/>
  <c r="I79" i="9" s="1"/>
  <c r="L70" i="8"/>
  <c r="E78" i="9" s="1"/>
  <c r="L69" i="8"/>
  <c r="N69" i="8" s="1"/>
  <c r="P69" i="8" s="1"/>
  <c r="I77" i="9" s="1"/>
  <c r="L68" i="8"/>
  <c r="E76" i="9" s="1"/>
  <c r="L67" i="8"/>
  <c r="N67" i="8" s="1"/>
  <c r="P67" i="8" s="1"/>
  <c r="I75" i="9" s="1"/>
  <c r="L66" i="8"/>
  <c r="E74" i="9" s="1"/>
  <c r="L65" i="8"/>
  <c r="E73" i="9" s="1"/>
  <c r="N76" i="8"/>
  <c r="P76" i="8" s="1"/>
  <c r="I84" i="9" s="1"/>
  <c r="L60" i="8"/>
  <c r="N60" i="8" s="1"/>
  <c r="P60" i="8" s="1"/>
  <c r="I68" i="9" s="1"/>
  <c r="L59" i="8"/>
  <c r="N59" i="8" s="1"/>
  <c r="P59" i="8" s="1"/>
  <c r="I67" i="9" s="1"/>
  <c r="L58" i="8"/>
  <c r="N58" i="8" s="1"/>
  <c r="P58" i="8" s="1"/>
  <c r="I66" i="9" s="1"/>
  <c r="L57" i="8"/>
  <c r="N57" i="8" s="1"/>
  <c r="P57" i="8" s="1"/>
  <c r="I65" i="9" s="1"/>
  <c r="L56" i="8"/>
  <c r="N56" i="8" s="1"/>
  <c r="P56" i="8" s="1"/>
  <c r="I64" i="9" s="1"/>
  <c r="L55" i="8"/>
  <c r="N55" i="8" s="1"/>
  <c r="P55" i="8" s="1"/>
  <c r="I63" i="9" s="1"/>
  <c r="L54" i="8"/>
  <c r="N54" i="8" s="1"/>
  <c r="P54" i="8" s="1"/>
  <c r="I62" i="9" s="1"/>
  <c r="L53" i="8"/>
  <c r="N53" i="8" s="1"/>
  <c r="P53" i="8" s="1"/>
  <c r="I61" i="9" s="1"/>
  <c r="L52" i="8"/>
  <c r="N52" i="8" s="1"/>
  <c r="P52" i="8" s="1"/>
  <c r="I60" i="9" s="1"/>
  <c r="L51" i="8"/>
  <c r="N51" i="8" s="1"/>
  <c r="P51" i="8" s="1"/>
  <c r="I59" i="9" s="1"/>
  <c r="L50" i="8"/>
  <c r="E58" i="9" s="1"/>
  <c r="L49" i="8"/>
  <c r="N49" i="8" s="1"/>
  <c r="P49" i="8" s="1"/>
  <c r="I57" i="9" s="1"/>
  <c r="L48" i="8"/>
  <c r="N48" i="8" s="1"/>
  <c r="P48" i="8" s="1"/>
  <c r="I56" i="9" s="1"/>
  <c r="L47" i="8"/>
  <c r="N47" i="8" s="1"/>
  <c r="P47" i="8" s="1"/>
  <c r="I55" i="9" s="1"/>
  <c r="D30" i="9"/>
  <c r="F30" i="9" s="1"/>
  <c r="D29" i="9"/>
  <c r="F29" i="9" s="1"/>
  <c r="D28" i="9"/>
  <c r="F28" i="9" s="1"/>
  <c r="D27" i="9"/>
  <c r="F27" i="9" s="1"/>
  <c r="D26" i="9"/>
  <c r="F26" i="9" s="1"/>
  <c r="D25" i="9"/>
  <c r="F25" i="9" s="1"/>
  <c r="D24" i="9"/>
  <c r="F24" i="9" s="1"/>
  <c r="D23" i="9"/>
  <c r="F23" i="9" s="1"/>
  <c r="D22" i="9"/>
  <c r="M30" i="9"/>
  <c r="M29" i="9"/>
  <c r="M28" i="9"/>
  <c r="M27" i="9"/>
  <c r="M26" i="9"/>
  <c r="M25" i="9"/>
  <c r="M24" i="9"/>
  <c r="M23" i="9"/>
  <c r="M22" i="9"/>
  <c r="M21" i="9"/>
  <c r="M20" i="9"/>
  <c r="M19" i="9"/>
  <c r="M18" i="9"/>
  <c r="M17" i="9"/>
  <c r="A106" i="9"/>
  <c r="A105" i="9"/>
  <c r="A104" i="9"/>
  <c r="A103" i="9"/>
  <c r="A102" i="9"/>
  <c r="A101" i="9"/>
  <c r="A100" i="9"/>
  <c r="A99" i="9"/>
  <c r="A98" i="9"/>
  <c r="A97" i="9"/>
  <c r="A96" i="9"/>
  <c r="A95" i="9"/>
  <c r="A94" i="9"/>
  <c r="A86" i="9"/>
  <c r="A85" i="9"/>
  <c r="A84" i="9"/>
  <c r="A83" i="9"/>
  <c r="A82" i="9"/>
  <c r="A81" i="9"/>
  <c r="A80" i="9"/>
  <c r="A79" i="9"/>
  <c r="A78" i="9"/>
  <c r="A77" i="9"/>
  <c r="A76" i="9"/>
  <c r="A75" i="9"/>
  <c r="A74" i="9"/>
  <c r="A73" i="9"/>
  <c r="A68" i="9"/>
  <c r="A67" i="9"/>
  <c r="A66" i="9"/>
  <c r="A65" i="9"/>
  <c r="A64" i="9"/>
  <c r="A63" i="9"/>
  <c r="A62" i="9"/>
  <c r="A61" i="9"/>
  <c r="A60" i="9"/>
  <c r="A59" i="9"/>
  <c r="A58" i="9"/>
  <c r="A57" i="9"/>
  <c r="A56" i="9"/>
  <c r="A55" i="9"/>
  <c r="A48" i="9"/>
  <c r="A47" i="9"/>
  <c r="A46" i="9"/>
  <c r="A45" i="9"/>
  <c r="A44" i="9"/>
  <c r="A43" i="9"/>
  <c r="A42" i="9"/>
  <c r="A41" i="9"/>
  <c r="A40" i="9"/>
  <c r="A39" i="9"/>
  <c r="A38" i="9"/>
  <c r="A37" i="9"/>
  <c r="A36" i="9"/>
  <c r="A35" i="9"/>
  <c r="A30" i="9"/>
  <c r="A29" i="9"/>
  <c r="A28" i="9"/>
  <c r="A27" i="9"/>
  <c r="A26" i="9"/>
  <c r="A25" i="9"/>
  <c r="A24" i="9"/>
  <c r="A23" i="9"/>
  <c r="A22" i="9"/>
  <c r="A21" i="9"/>
  <c r="A20" i="9"/>
  <c r="A19" i="9"/>
  <c r="A18" i="9"/>
  <c r="A17" i="9"/>
  <c r="C41" i="2"/>
  <c r="O24" i="9" l="1"/>
  <c r="P24" i="9" s="1"/>
  <c r="J24" i="9"/>
  <c r="O46" i="9"/>
  <c r="P46" i="9" s="1"/>
  <c r="J46" i="9"/>
  <c r="O29" i="9"/>
  <c r="P29" i="9" s="1"/>
  <c r="J29" i="9"/>
  <c r="O28" i="9"/>
  <c r="P28" i="9" s="1"/>
  <c r="J28" i="9"/>
  <c r="O42" i="9"/>
  <c r="P42" i="9" s="1"/>
  <c r="J42" i="9"/>
  <c r="N72" i="8"/>
  <c r="P72" i="8" s="1"/>
  <c r="I80" i="9" s="1"/>
  <c r="D17" i="9"/>
  <c r="N65" i="8"/>
  <c r="P65" i="8" s="1"/>
  <c r="I73" i="9" s="1"/>
  <c r="N50" i="8"/>
  <c r="P50" i="8" s="1"/>
  <c r="I58" i="9" s="1"/>
  <c r="N74" i="8"/>
  <c r="P74" i="8" s="1"/>
  <c r="I82" i="9" s="1"/>
  <c r="N68" i="8"/>
  <c r="P68" i="8" s="1"/>
  <c r="I76" i="9" s="1"/>
  <c r="U25" i="23"/>
  <c r="O34" i="8"/>
  <c r="E41" i="9"/>
  <c r="O35" i="8"/>
  <c r="E42" i="9"/>
  <c r="O39" i="8"/>
  <c r="E46" i="9"/>
  <c r="O38" i="8"/>
  <c r="E45" i="9"/>
  <c r="E43" i="9"/>
  <c r="O36" i="8"/>
  <c r="O40" i="8"/>
  <c r="E47" i="9"/>
  <c r="F58" i="9"/>
  <c r="E40" i="9"/>
  <c r="O33" i="8"/>
  <c r="E44" i="9"/>
  <c r="O37" i="8"/>
  <c r="E48" i="9"/>
  <c r="O41" i="8"/>
  <c r="N70" i="8"/>
  <c r="P70" i="8" s="1"/>
  <c r="I78" i="9" s="1"/>
  <c r="E81" i="9"/>
  <c r="J99" i="9"/>
  <c r="J103" i="9"/>
  <c r="E83" i="9"/>
  <c r="J100" i="9"/>
  <c r="J104" i="9"/>
  <c r="E77" i="9"/>
  <c r="E85" i="9"/>
  <c r="J97" i="9"/>
  <c r="J101" i="9"/>
  <c r="J105" i="9"/>
  <c r="E79" i="9"/>
  <c r="E86" i="9"/>
  <c r="J98" i="9"/>
  <c r="J102" i="9"/>
  <c r="J106" i="9"/>
  <c r="E38" i="9"/>
  <c r="H38" i="9" s="1"/>
  <c r="O31" i="8"/>
  <c r="O28" i="8"/>
  <c r="E35" i="9"/>
  <c r="E39" i="9"/>
  <c r="O32" i="8"/>
  <c r="E36" i="9"/>
  <c r="O29" i="8"/>
  <c r="R42" i="9"/>
  <c r="S42" i="9" s="1"/>
  <c r="O41" i="9"/>
  <c r="P41" i="9" s="1"/>
  <c r="R46" i="9"/>
  <c r="S46" i="9" s="1"/>
  <c r="O25" i="9"/>
  <c r="P25" i="9" s="1"/>
  <c r="H37" i="9"/>
  <c r="O23" i="9"/>
  <c r="P23" i="9" s="1"/>
  <c r="H58" i="9"/>
  <c r="O26" i="9"/>
  <c r="P26" i="9" s="1"/>
  <c r="O43" i="9"/>
  <c r="O44" i="9"/>
  <c r="O45" i="9"/>
  <c r="O27" i="9"/>
  <c r="P27" i="9" s="1"/>
  <c r="O30" i="9"/>
  <c r="P30" i="9" s="1"/>
  <c r="O40" i="9"/>
  <c r="O47" i="9"/>
  <c r="O48" i="9"/>
  <c r="F73" i="9"/>
  <c r="H74" i="9"/>
  <c r="H73" i="9"/>
  <c r="N93" i="9"/>
  <c r="E75" i="9"/>
  <c r="F75" i="9" s="1"/>
  <c r="N66" i="8"/>
  <c r="P66" i="8" s="1"/>
  <c r="I74" i="9" s="1"/>
  <c r="O30" i="8"/>
  <c r="O9" i="8"/>
  <c r="O14" i="8"/>
  <c r="O18" i="8"/>
  <c r="O13" i="8"/>
  <c r="R29" i="9"/>
  <c r="S29" i="9" s="1"/>
  <c r="R24" i="9"/>
  <c r="S24" i="9" s="1"/>
  <c r="R28" i="9"/>
  <c r="S28" i="9" s="1"/>
  <c r="B532" i="19"/>
  <c r="B531" i="19"/>
  <c r="B530" i="19"/>
  <c r="C529" i="19"/>
  <c r="B529" i="19"/>
  <c r="C528" i="19"/>
  <c r="B527" i="19"/>
  <c r="I526" i="19"/>
  <c r="H526" i="19"/>
  <c r="G526" i="19"/>
  <c r="F526" i="19"/>
  <c r="E526" i="19"/>
  <c r="D526" i="19"/>
  <c r="C526" i="19"/>
  <c r="B526" i="19"/>
  <c r="H525" i="19"/>
  <c r="G525" i="19"/>
  <c r="F525" i="19"/>
  <c r="E525" i="19"/>
  <c r="D525" i="19"/>
  <c r="C525" i="19"/>
  <c r="H524" i="19"/>
  <c r="G524" i="19"/>
  <c r="F524" i="19"/>
  <c r="E524" i="19"/>
  <c r="D524" i="19"/>
  <c r="C524" i="19"/>
  <c r="H523" i="19"/>
  <c r="G523" i="19"/>
  <c r="F523" i="19"/>
  <c r="E523" i="19"/>
  <c r="D523" i="19"/>
  <c r="C523" i="19"/>
  <c r="H522" i="19"/>
  <c r="G522" i="19"/>
  <c r="F522" i="19"/>
  <c r="E522" i="19"/>
  <c r="D522" i="19"/>
  <c r="C522" i="19"/>
  <c r="H521" i="19"/>
  <c r="G521" i="19"/>
  <c r="F521" i="19"/>
  <c r="E521" i="19"/>
  <c r="D521" i="19"/>
  <c r="C521" i="19"/>
  <c r="H520" i="19"/>
  <c r="G520" i="19"/>
  <c r="F520" i="19"/>
  <c r="E520" i="19"/>
  <c r="D520" i="19"/>
  <c r="C520" i="19"/>
  <c r="H519" i="19"/>
  <c r="G519" i="19"/>
  <c r="F519" i="19"/>
  <c r="E519" i="19"/>
  <c r="D519" i="19"/>
  <c r="C519" i="19"/>
  <c r="H518" i="19"/>
  <c r="G518" i="19"/>
  <c r="F518" i="19"/>
  <c r="E518" i="19"/>
  <c r="D518" i="19"/>
  <c r="C518" i="19"/>
  <c r="H517" i="19"/>
  <c r="G517" i="19"/>
  <c r="F517" i="19"/>
  <c r="E517" i="19"/>
  <c r="D517" i="19"/>
  <c r="C517" i="19"/>
  <c r="H516" i="19"/>
  <c r="G516" i="19"/>
  <c r="F516" i="19"/>
  <c r="E516" i="19"/>
  <c r="D516" i="19"/>
  <c r="C516" i="19"/>
  <c r="H515" i="19"/>
  <c r="G515" i="19"/>
  <c r="F515" i="19"/>
  <c r="E515" i="19"/>
  <c r="D515" i="19"/>
  <c r="C515" i="19"/>
  <c r="H514" i="19"/>
  <c r="G514" i="19"/>
  <c r="F514" i="19"/>
  <c r="E514" i="19"/>
  <c r="D514" i="19"/>
  <c r="C514" i="19"/>
  <c r="H513" i="19"/>
  <c r="G513" i="19"/>
  <c r="F513" i="19"/>
  <c r="E513" i="19"/>
  <c r="C513" i="19"/>
  <c r="H512" i="19"/>
  <c r="G512" i="19"/>
  <c r="F512" i="19"/>
  <c r="E512" i="19"/>
  <c r="D512" i="19"/>
  <c r="C512" i="19"/>
  <c r="K511" i="19"/>
  <c r="J511" i="19"/>
  <c r="I511" i="19"/>
  <c r="H511" i="19"/>
  <c r="G511" i="19"/>
  <c r="F511" i="19"/>
  <c r="E511" i="19"/>
  <c r="D511" i="19"/>
  <c r="C511" i="19"/>
  <c r="B511" i="19"/>
  <c r="F507" i="19"/>
  <c r="E507" i="19"/>
  <c r="D507" i="19"/>
  <c r="C507" i="19"/>
  <c r="B504" i="19"/>
  <c r="F498" i="19"/>
  <c r="E498" i="19"/>
  <c r="D498" i="19"/>
  <c r="C498" i="19"/>
  <c r="B498" i="19"/>
  <c r="D497" i="19"/>
  <c r="C497" i="19"/>
  <c r="D496" i="19"/>
  <c r="C496" i="19"/>
  <c r="B496" i="19"/>
  <c r="B495" i="19"/>
  <c r="B494" i="19"/>
  <c r="B493" i="19"/>
  <c r="D492" i="19"/>
  <c r="B492" i="19"/>
  <c r="D491" i="19"/>
  <c r="B491" i="19"/>
  <c r="D490" i="19"/>
  <c r="B490" i="19"/>
  <c r="D489" i="19"/>
  <c r="C489" i="19"/>
  <c r="B489" i="19"/>
  <c r="B488" i="19"/>
  <c r="B487" i="19"/>
  <c r="B486" i="19"/>
  <c r="B485" i="19"/>
  <c r="C484" i="19"/>
  <c r="B484" i="19"/>
  <c r="C483" i="19"/>
  <c r="B483" i="19"/>
  <c r="C482" i="19"/>
  <c r="B482" i="19"/>
  <c r="B481" i="19"/>
  <c r="C480" i="19"/>
  <c r="B480" i="19"/>
  <c r="C479" i="19"/>
  <c r="B479" i="19"/>
  <c r="B478" i="19"/>
  <c r="B477" i="19"/>
  <c r="D476" i="19"/>
  <c r="B476" i="19"/>
  <c r="D475" i="19"/>
  <c r="C475" i="19"/>
  <c r="B475" i="19"/>
  <c r="B469" i="19" a="1"/>
  <c r="H469" i="19" s="1"/>
  <c r="B463" i="19" a="1"/>
  <c r="H463" i="19" s="1"/>
  <c r="B459" i="19"/>
  <c r="A459" i="19"/>
  <c r="B458" i="19"/>
  <c r="A458" i="19"/>
  <c r="B457" i="19"/>
  <c r="A457" i="19"/>
  <c r="B456" i="19"/>
  <c r="A456" i="19"/>
  <c r="B455" i="19"/>
  <c r="A455" i="19"/>
  <c r="B454" i="19"/>
  <c r="A454" i="19"/>
  <c r="G453" i="19"/>
  <c r="F453" i="19"/>
  <c r="E453" i="19"/>
  <c r="D453" i="19"/>
  <c r="C453" i="19"/>
  <c r="B453" i="19"/>
  <c r="A453" i="19"/>
  <c r="I450" i="19"/>
  <c r="H450" i="19"/>
  <c r="E450" i="19"/>
  <c r="D450" i="19"/>
  <c r="C450" i="19"/>
  <c r="B450" i="19"/>
  <c r="J449" i="19"/>
  <c r="I449" i="19"/>
  <c r="H449" i="19"/>
  <c r="E449" i="19"/>
  <c r="C449" i="19"/>
  <c r="B449" i="19"/>
  <c r="A449" i="19"/>
  <c r="J448" i="19"/>
  <c r="I448" i="19"/>
  <c r="H448" i="19"/>
  <c r="E448" i="19"/>
  <c r="C448" i="19"/>
  <c r="B448" i="19"/>
  <c r="A448" i="19"/>
  <c r="J447" i="19"/>
  <c r="I447" i="19"/>
  <c r="H447" i="19"/>
  <c r="E447" i="19"/>
  <c r="C447" i="19"/>
  <c r="B447" i="19"/>
  <c r="A447" i="19"/>
  <c r="J446" i="19"/>
  <c r="I446" i="19"/>
  <c r="H446" i="19"/>
  <c r="E446" i="19"/>
  <c r="C446" i="19"/>
  <c r="B446" i="19"/>
  <c r="A446" i="19"/>
  <c r="J445" i="19"/>
  <c r="I445" i="19"/>
  <c r="H445" i="19"/>
  <c r="E445" i="19"/>
  <c r="C445" i="19"/>
  <c r="B445" i="19"/>
  <c r="A445" i="19"/>
  <c r="I444" i="19"/>
  <c r="H444" i="19"/>
  <c r="G444" i="19"/>
  <c r="F444" i="19"/>
  <c r="E444" i="19"/>
  <c r="D444" i="19"/>
  <c r="C444" i="19"/>
  <c r="B444" i="19"/>
  <c r="A444" i="19"/>
  <c r="B441" i="19"/>
  <c r="A441" i="19"/>
  <c r="B440" i="19"/>
  <c r="A440" i="19"/>
  <c r="B439" i="19"/>
  <c r="A439" i="19"/>
  <c r="B438" i="19"/>
  <c r="A438" i="19"/>
  <c r="B437" i="19"/>
  <c r="A437" i="19"/>
  <c r="B436" i="19"/>
  <c r="A436" i="19"/>
  <c r="B435" i="19"/>
  <c r="A435" i="19"/>
  <c r="G434" i="19"/>
  <c r="F434" i="19"/>
  <c r="E434" i="19"/>
  <c r="D434" i="19"/>
  <c r="C434" i="19"/>
  <c r="B434" i="19"/>
  <c r="A434" i="19"/>
  <c r="I431" i="19"/>
  <c r="H431" i="19"/>
  <c r="E431" i="19"/>
  <c r="D431" i="19"/>
  <c r="C431" i="19"/>
  <c r="B431" i="19"/>
  <c r="A431" i="19"/>
  <c r="I430" i="19"/>
  <c r="H430" i="19"/>
  <c r="F430" i="19"/>
  <c r="E430" i="19"/>
  <c r="C430" i="19"/>
  <c r="B430" i="19"/>
  <c r="A430" i="19"/>
  <c r="I429" i="19"/>
  <c r="H429" i="19"/>
  <c r="E429" i="19"/>
  <c r="C429" i="19"/>
  <c r="B429" i="19"/>
  <c r="A429" i="19"/>
  <c r="I428" i="19"/>
  <c r="H428" i="19"/>
  <c r="E428" i="19"/>
  <c r="C428" i="19"/>
  <c r="B428" i="19"/>
  <c r="A428" i="19"/>
  <c r="I427" i="19"/>
  <c r="H427" i="19"/>
  <c r="E427" i="19"/>
  <c r="C427" i="19"/>
  <c r="B427" i="19"/>
  <c r="N383" i="19" s="1"/>
  <c r="A427" i="19"/>
  <c r="M383" i="19" s="1"/>
  <c r="I426" i="19"/>
  <c r="H426" i="19"/>
  <c r="E426" i="19"/>
  <c r="C426" i="19"/>
  <c r="B426" i="19"/>
  <c r="A426" i="19"/>
  <c r="I425" i="19"/>
  <c r="H425" i="19"/>
  <c r="E425" i="19"/>
  <c r="C425" i="19"/>
  <c r="B425" i="19"/>
  <c r="A425" i="19"/>
  <c r="I424" i="19"/>
  <c r="H424" i="19"/>
  <c r="G424" i="19"/>
  <c r="F424" i="19"/>
  <c r="E424" i="19"/>
  <c r="D424" i="19"/>
  <c r="C424" i="19"/>
  <c r="B424" i="19"/>
  <c r="A424" i="19"/>
  <c r="B421" i="19"/>
  <c r="B420" i="19"/>
  <c r="A420" i="19"/>
  <c r="B419" i="19"/>
  <c r="A419" i="19"/>
  <c r="B418" i="19"/>
  <c r="A418" i="19"/>
  <c r="B417" i="19"/>
  <c r="A417" i="19"/>
  <c r="B416" i="19"/>
  <c r="A416" i="19"/>
  <c r="B415" i="19"/>
  <c r="A415" i="19"/>
  <c r="B414" i="19"/>
  <c r="A414" i="19"/>
  <c r="B413" i="19"/>
  <c r="A413" i="19"/>
  <c r="B412" i="19"/>
  <c r="A412" i="19"/>
  <c r="G411" i="19"/>
  <c r="F411" i="19"/>
  <c r="E411" i="19"/>
  <c r="D411" i="19"/>
  <c r="C411" i="19"/>
  <c r="B411" i="19"/>
  <c r="A411" i="19"/>
  <c r="I408" i="19"/>
  <c r="H408" i="19"/>
  <c r="E408" i="19"/>
  <c r="D408" i="19"/>
  <c r="C408" i="19"/>
  <c r="B408" i="19"/>
  <c r="A408" i="19"/>
  <c r="J407" i="19"/>
  <c r="I407" i="19"/>
  <c r="H407" i="19"/>
  <c r="E407" i="19"/>
  <c r="C407" i="19"/>
  <c r="B407" i="19"/>
  <c r="A407" i="19"/>
  <c r="J406" i="19"/>
  <c r="I406" i="19"/>
  <c r="H406" i="19"/>
  <c r="E406" i="19"/>
  <c r="C406" i="19"/>
  <c r="B406" i="19"/>
  <c r="A406" i="19"/>
  <c r="J405" i="19"/>
  <c r="I405" i="19"/>
  <c r="H405" i="19"/>
  <c r="E405" i="19"/>
  <c r="C405" i="19"/>
  <c r="B405" i="19"/>
  <c r="A405" i="19"/>
  <c r="J404" i="19"/>
  <c r="I404" i="19"/>
  <c r="H404" i="19"/>
  <c r="E404" i="19"/>
  <c r="C404" i="19"/>
  <c r="B404" i="19"/>
  <c r="A404" i="19"/>
  <c r="J403" i="19"/>
  <c r="I403" i="19"/>
  <c r="H403" i="19"/>
  <c r="E403" i="19"/>
  <c r="C403" i="19"/>
  <c r="B403" i="19"/>
  <c r="A403" i="19"/>
  <c r="J402" i="19"/>
  <c r="I402" i="19"/>
  <c r="H402" i="19"/>
  <c r="E402" i="19"/>
  <c r="C402" i="19"/>
  <c r="B402" i="19"/>
  <c r="A402" i="19"/>
  <c r="J401" i="19"/>
  <c r="I401" i="19"/>
  <c r="H401" i="19"/>
  <c r="E401" i="19"/>
  <c r="C401" i="19"/>
  <c r="B401" i="19"/>
  <c r="A401" i="19"/>
  <c r="J400" i="19"/>
  <c r="I400" i="19"/>
  <c r="H400" i="19"/>
  <c r="E400" i="19"/>
  <c r="C400" i="19"/>
  <c r="B400" i="19"/>
  <c r="A400" i="19"/>
  <c r="J399" i="19"/>
  <c r="I399" i="19"/>
  <c r="H399" i="19"/>
  <c r="E399" i="19"/>
  <c r="C399" i="19"/>
  <c r="B399" i="19"/>
  <c r="A399" i="19"/>
  <c r="I398" i="19"/>
  <c r="H398" i="19"/>
  <c r="G398" i="19"/>
  <c r="F398" i="19"/>
  <c r="E398" i="19"/>
  <c r="D398" i="19"/>
  <c r="C398" i="19"/>
  <c r="B398" i="19"/>
  <c r="A398" i="19"/>
  <c r="B394" i="19"/>
  <c r="A394" i="19"/>
  <c r="B393" i="19"/>
  <c r="A393" i="19"/>
  <c r="B392" i="19"/>
  <c r="A392" i="19"/>
  <c r="B391" i="19"/>
  <c r="A391" i="19"/>
  <c r="B390" i="19"/>
  <c r="A390" i="19"/>
  <c r="B389" i="19"/>
  <c r="A389" i="19"/>
  <c r="B388" i="19"/>
  <c r="A388" i="19"/>
  <c r="B387" i="19"/>
  <c r="A387" i="19"/>
  <c r="G386" i="19"/>
  <c r="F386" i="19"/>
  <c r="E386" i="19"/>
  <c r="D386" i="19"/>
  <c r="C386" i="19"/>
  <c r="B386" i="19"/>
  <c r="A386" i="19"/>
  <c r="S384" i="19"/>
  <c r="R384" i="19"/>
  <c r="Q384" i="19"/>
  <c r="M384" i="19"/>
  <c r="S383" i="19"/>
  <c r="R383" i="19"/>
  <c r="Q383" i="19"/>
  <c r="O383" i="19"/>
  <c r="E383" i="19"/>
  <c r="O384" i="19" s="1"/>
  <c r="B383" i="19"/>
  <c r="N384" i="19" s="1"/>
  <c r="J382" i="19"/>
  <c r="S382" i="19" s="1"/>
  <c r="I382" i="19"/>
  <c r="R382" i="19" s="1"/>
  <c r="H382" i="19"/>
  <c r="Q382" i="19" s="1"/>
  <c r="E382" i="19"/>
  <c r="O382" i="19" s="1"/>
  <c r="D382" i="19"/>
  <c r="C382" i="19"/>
  <c r="B382" i="19"/>
  <c r="N382" i="19" s="1"/>
  <c r="A382" i="19"/>
  <c r="M382" i="19" s="1"/>
  <c r="J381" i="19"/>
  <c r="S381" i="19" s="1"/>
  <c r="I381" i="19"/>
  <c r="R381" i="19" s="1"/>
  <c r="H381" i="19"/>
  <c r="Q381" i="19" s="1"/>
  <c r="E381" i="19"/>
  <c r="O381" i="19" s="1"/>
  <c r="D381" i="19"/>
  <c r="C381" i="19"/>
  <c r="B381" i="19"/>
  <c r="N381" i="19" s="1"/>
  <c r="A381" i="19"/>
  <c r="M381" i="19" s="1"/>
  <c r="J380" i="19"/>
  <c r="S380" i="19" s="1"/>
  <c r="I380" i="19"/>
  <c r="R380" i="19" s="1"/>
  <c r="H380" i="19"/>
  <c r="Q380" i="19" s="1"/>
  <c r="E380" i="19"/>
  <c r="O380" i="19" s="1"/>
  <c r="D380" i="19"/>
  <c r="C380" i="19"/>
  <c r="B380" i="19"/>
  <c r="N380" i="19" s="1"/>
  <c r="A380" i="19"/>
  <c r="M380" i="19" s="1"/>
  <c r="J379" i="19"/>
  <c r="S379" i="19" s="1"/>
  <c r="I379" i="19"/>
  <c r="R379" i="19" s="1"/>
  <c r="H379" i="19"/>
  <c r="Q379" i="19" s="1"/>
  <c r="E379" i="19"/>
  <c r="O379" i="19" s="1"/>
  <c r="D379" i="19"/>
  <c r="C379" i="19"/>
  <c r="B379" i="19"/>
  <c r="N379" i="19" s="1"/>
  <c r="A379" i="19"/>
  <c r="M379" i="19" s="1"/>
  <c r="J378" i="19"/>
  <c r="S378" i="19" s="1"/>
  <c r="I378" i="19"/>
  <c r="R378" i="19" s="1"/>
  <c r="H378" i="19"/>
  <c r="Q378" i="19" s="1"/>
  <c r="E378" i="19"/>
  <c r="O378" i="19" s="1"/>
  <c r="D378" i="19"/>
  <c r="C378" i="19"/>
  <c r="B378" i="19"/>
  <c r="N378" i="19" s="1"/>
  <c r="A378" i="19"/>
  <c r="M378" i="19" s="1"/>
  <c r="J377" i="19"/>
  <c r="S377" i="19" s="1"/>
  <c r="I377" i="19"/>
  <c r="R377" i="19" s="1"/>
  <c r="H377" i="19"/>
  <c r="Q377" i="19" s="1"/>
  <c r="E377" i="19"/>
  <c r="O377" i="19" s="1"/>
  <c r="D377" i="19"/>
  <c r="C377" i="19"/>
  <c r="B377" i="19"/>
  <c r="N377" i="19" s="1"/>
  <c r="A377" i="19"/>
  <c r="M377" i="19" s="1"/>
  <c r="J376" i="19"/>
  <c r="S376" i="19" s="1"/>
  <c r="I376" i="19"/>
  <c r="R376" i="19" s="1"/>
  <c r="H376" i="19"/>
  <c r="Q376" i="19" s="1"/>
  <c r="E376" i="19"/>
  <c r="O376" i="19" s="1"/>
  <c r="D376" i="19"/>
  <c r="C376" i="19"/>
  <c r="B376" i="19"/>
  <c r="N376" i="19" s="1"/>
  <c r="A376" i="19"/>
  <c r="M376" i="19" s="1"/>
  <c r="J375" i="19"/>
  <c r="S375" i="19" s="1"/>
  <c r="I375" i="19"/>
  <c r="R375" i="19" s="1"/>
  <c r="H375" i="19"/>
  <c r="Q375" i="19" s="1"/>
  <c r="E375" i="19"/>
  <c r="O375" i="19" s="1"/>
  <c r="D375" i="19"/>
  <c r="C375" i="19"/>
  <c r="B375" i="19"/>
  <c r="N375" i="19" s="1"/>
  <c r="A375" i="19"/>
  <c r="M375" i="19" s="1"/>
  <c r="U374" i="19"/>
  <c r="T374" i="19"/>
  <c r="S374" i="19"/>
  <c r="I374" i="19"/>
  <c r="R374" i="19" s="1"/>
  <c r="H374" i="19"/>
  <c r="Q374" i="19" s="1"/>
  <c r="G374" i="19"/>
  <c r="F374" i="19"/>
  <c r="P374" i="19" s="1"/>
  <c r="E374" i="19"/>
  <c r="O374" i="19" s="1"/>
  <c r="D374" i="19"/>
  <c r="C374" i="19"/>
  <c r="B374" i="19"/>
  <c r="N374" i="19" s="1"/>
  <c r="A374" i="19"/>
  <c r="M374" i="19" s="1"/>
  <c r="B371" i="19"/>
  <c r="B370" i="19"/>
  <c r="O369" i="19"/>
  <c r="B369" i="19"/>
  <c r="O368" i="19"/>
  <c r="B368" i="19"/>
  <c r="O367" i="19"/>
  <c r="I366" i="19"/>
  <c r="H366" i="19"/>
  <c r="G366" i="19"/>
  <c r="B366" i="19"/>
  <c r="I365" i="19"/>
  <c r="H365" i="19"/>
  <c r="G365" i="19"/>
  <c r="F365" i="19"/>
  <c r="E365" i="19"/>
  <c r="D365" i="19"/>
  <c r="C365" i="19"/>
  <c r="B365" i="19"/>
  <c r="H364" i="19"/>
  <c r="G364" i="19"/>
  <c r="F364" i="19"/>
  <c r="E364" i="19"/>
  <c r="D364" i="19"/>
  <c r="C364" i="19"/>
  <c r="B364" i="19"/>
  <c r="D363" i="19"/>
  <c r="C363" i="19"/>
  <c r="B363" i="19"/>
  <c r="D362" i="19"/>
  <c r="C362" i="19"/>
  <c r="B362" i="19"/>
  <c r="D361" i="19"/>
  <c r="C361" i="19"/>
  <c r="B361" i="19"/>
  <c r="B358" i="19"/>
  <c r="F357" i="19"/>
  <c r="E357" i="19"/>
  <c r="D357" i="19"/>
  <c r="C357" i="19"/>
  <c r="B357" i="19"/>
  <c r="H356" i="19"/>
  <c r="G356" i="19"/>
  <c r="F356" i="19"/>
  <c r="E356" i="19"/>
  <c r="D356" i="19"/>
  <c r="C356" i="19"/>
  <c r="B355" i="19"/>
  <c r="B354" i="19"/>
  <c r="D353" i="19"/>
  <c r="B353" i="19"/>
  <c r="B352" i="19"/>
  <c r="D345" i="19"/>
  <c r="C345" i="19"/>
  <c r="B345" i="19"/>
  <c r="C344" i="19"/>
  <c r="B344" i="19"/>
  <c r="F343" i="19"/>
  <c r="E343" i="19"/>
  <c r="D343" i="19"/>
  <c r="C343" i="19"/>
  <c r="B343" i="19"/>
  <c r="B342" i="19"/>
  <c r="B341" i="19"/>
  <c r="B340" i="19"/>
  <c r="B339" i="19"/>
  <c r="F338" i="19"/>
  <c r="E338" i="19"/>
  <c r="D338" i="19"/>
  <c r="C338" i="19"/>
  <c r="B338" i="19"/>
  <c r="B337" i="19"/>
  <c r="D336" i="19"/>
  <c r="B336" i="19"/>
  <c r="D335" i="19"/>
  <c r="B335" i="19"/>
  <c r="D334" i="19"/>
  <c r="D333" i="19"/>
  <c r="D332" i="19"/>
  <c r="D331" i="19"/>
  <c r="D330" i="19"/>
  <c r="B330" i="19"/>
  <c r="D329" i="19"/>
  <c r="B329" i="19"/>
  <c r="D328" i="19"/>
  <c r="B328" i="19"/>
  <c r="D327" i="19"/>
  <c r="D326" i="19"/>
  <c r="C326" i="19"/>
  <c r="B326" i="19"/>
  <c r="H325" i="19"/>
  <c r="G325" i="19"/>
  <c r="F325" i="19"/>
  <c r="E325" i="19"/>
  <c r="D325" i="19"/>
  <c r="C325" i="19"/>
  <c r="B325" i="19"/>
  <c r="G324" i="19"/>
  <c r="E324" i="19"/>
  <c r="D324" i="19"/>
  <c r="B324" i="19"/>
  <c r="G323" i="19"/>
  <c r="D323" i="19"/>
  <c r="C323" i="19"/>
  <c r="B323" i="19"/>
  <c r="G322" i="19"/>
  <c r="D322" i="19"/>
  <c r="C322" i="19"/>
  <c r="B322" i="19"/>
  <c r="G321" i="19"/>
  <c r="D321" i="19"/>
  <c r="C321" i="19"/>
  <c r="B321" i="19"/>
  <c r="G320" i="19"/>
  <c r="D320" i="19"/>
  <c r="C320" i="19"/>
  <c r="B320" i="19"/>
  <c r="G319" i="19"/>
  <c r="D319" i="19"/>
  <c r="C319" i="19"/>
  <c r="B319" i="19"/>
  <c r="G318" i="19"/>
  <c r="D318" i="19"/>
  <c r="C318" i="19"/>
  <c r="B318" i="19"/>
  <c r="G317" i="19"/>
  <c r="D317" i="19"/>
  <c r="C317" i="19"/>
  <c r="B317" i="19"/>
  <c r="G316" i="19"/>
  <c r="D316" i="19"/>
  <c r="C316" i="19"/>
  <c r="B316" i="19"/>
  <c r="G315" i="19"/>
  <c r="D315" i="19"/>
  <c r="C315" i="19"/>
  <c r="B315" i="19"/>
  <c r="G314" i="19"/>
  <c r="D314" i="19"/>
  <c r="C314" i="19"/>
  <c r="B314" i="19"/>
  <c r="G313" i="19"/>
  <c r="D313" i="19"/>
  <c r="C313" i="19"/>
  <c r="B313" i="19"/>
  <c r="G312" i="19"/>
  <c r="D312" i="19"/>
  <c r="C312" i="19"/>
  <c r="B312" i="19"/>
  <c r="G311" i="19"/>
  <c r="D311" i="19"/>
  <c r="C311" i="19"/>
  <c r="B311" i="19"/>
  <c r="G310" i="19"/>
  <c r="D310" i="19"/>
  <c r="C310" i="19"/>
  <c r="B310" i="19"/>
  <c r="H309" i="19"/>
  <c r="G309" i="19"/>
  <c r="F309" i="19"/>
  <c r="E309" i="19"/>
  <c r="D309" i="19"/>
  <c r="C309" i="19"/>
  <c r="B309" i="19"/>
  <c r="C308" i="19"/>
  <c r="B308" i="19"/>
  <c r="B307" i="19"/>
  <c r="B306" i="19"/>
  <c r="C305" i="19"/>
  <c r="B305" i="19"/>
  <c r="B304" i="19"/>
  <c r="C303" i="19"/>
  <c r="B303" i="19"/>
  <c r="B302" i="19"/>
  <c r="B301" i="19"/>
  <c r="C300" i="19"/>
  <c r="B300" i="19"/>
  <c r="C299" i="19"/>
  <c r="B299" i="19"/>
  <c r="B297" i="19"/>
  <c r="B296" i="19"/>
  <c r="F295" i="19"/>
  <c r="E295" i="19"/>
  <c r="D295" i="19"/>
  <c r="C295" i="19"/>
  <c r="B295" i="19"/>
  <c r="E294" i="19"/>
  <c r="D294" i="19"/>
  <c r="C294" i="19"/>
  <c r="E293" i="19"/>
  <c r="D293" i="19"/>
  <c r="C293" i="19"/>
  <c r="E292" i="19"/>
  <c r="D292" i="19"/>
  <c r="C292" i="19"/>
  <c r="E291" i="19"/>
  <c r="D291" i="19"/>
  <c r="C291" i="19"/>
  <c r="E290" i="19"/>
  <c r="D290" i="19"/>
  <c r="C290" i="19"/>
  <c r="E289" i="19"/>
  <c r="D289" i="19"/>
  <c r="C289" i="19"/>
  <c r="E288" i="19"/>
  <c r="D288" i="19"/>
  <c r="C288" i="19"/>
  <c r="E287" i="19"/>
  <c r="D287" i="19"/>
  <c r="C287" i="19"/>
  <c r="E286" i="19"/>
  <c r="D286" i="19"/>
  <c r="C286" i="19"/>
  <c r="E285" i="19"/>
  <c r="D285" i="19"/>
  <c r="C285" i="19"/>
  <c r="E284" i="19"/>
  <c r="D284" i="19"/>
  <c r="C284" i="19"/>
  <c r="E283" i="19"/>
  <c r="D283" i="19"/>
  <c r="C283" i="19"/>
  <c r="E282" i="19"/>
  <c r="D282" i="19"/>
  <c r="C282" i="19"/>
  <c r="E281" i="19"/>
  <c r="D281" i="19"/>
  <c r="C281" i="19"/>
  <c r="H280" i="19"/>
  <c r="G280" i="19"/>
  <c r="F280" i="19"/>
  <c r="E280" i="19"/>
  <c r="D280" i="19"/>
  <c r="C280" i="19"/>
  <c r="B280" i="19"/>
  <c r="B278" i="19"/>
  <c r="H277" i="19"/>
  <c r="E277" i="19"/>
  <c r="D277" i="19"/>
  <c r="C277" i="19"/>
  <c r="B277" i="19"/>
  <c r="D276" i="19"/>
  <c r="C276" i="19"/>
  <c r="D275" i="19"/>
  <c r="C275" i="19"/>
  <c r="D274" i="19"/>
  <c r="C274" i="19"/>
  <c r="D273" i="19"/>
  <c r="C273" i="19"/>
  <c r="D272" i="19"/>
  <c r="C272" i="19"/>
  <c r="D271" i="19"/>
  <c r="C271" i="19"/>
  <c r="D270" i="19"/>
  <c r="C270" i="19"/>
  <c r="D269" i="19"/>
  <c r="C269" i="19"/>
  <c r="D268" i="19"/>
  <c r="C268" i="19"/>
  <c r="D267" i="19"/>
  <c r="C267" i="19"/>
  <c r="D266" i="19"/>
  <c r="C266" i="19"/>
  <c r="D265" i="19"/>
  <c r="C265" i="19"/>
  <c r="C264" i="19"/>
  <c r="D263" i="19"/>
  <c r="C263" i="19"/>
  <c r="I262" i="19"/>
  <c r="H262" i="19"/>
  <c r="G262" i="19"/>
  <c r="F262" i="19"/>
  <c r="E262" i="19"/>
  <c r="D262" i="19"/>
  <c r="C262" i="19"/>
  <c r="B262" i="19"/>
  <c r="B260" i="19"/>
  <c r="F259" i="19"/>
  <c r="D259" i="19"/>
  <c r="C259" i="19"/>
  <c r="B259" i="19"/>
  <c r="F258" i="19"/>
  <c r="D258" i="19"/>
  <c r="C258" i="19"/>
  <c r="F257" i="19"/>
  <c r="D257" i="19"/>
  <c r="C257" i="19"/>
  <c r="F256" i="19"/>
  <c r="D256" i="19"/>
  <c r="C256" i="19"/>
  <c r="F255" i="19"/>
  <c r="D255" i="19"/>
  <c r="C255" i="19"/>
  <c r="F254" i="19"/>
  <c r="D254" i="19"/>
  <c r="C254" i="19"/>
  <c r="F253" i="19"/>
  <c r="D253" i="19"/>
  <c r="C253" i="19"/>
  <c r="F252" i="19"/>
  <c r="D252" i="19"/>
  <c r="C252" i="19"/>
  <c r="F251" i="19"/>
  <c r="D251" i="19"/>
  <c r="C251" i="19"/>
  <c r="F250" i="19"/>
  <c r="D250" i="19"/>
  <c r="C250" i="19"/>
  <c r="F249" i="19"/>
  <c r="D249" i="19"/>
  <c r="C249" i="19"/>
  <c r="F248" i="19"/>
  <c r="D248" i="19"/>
  <c r="C248" i="19"/>
  <c r="F247" i="19"/>
  <c r="D247" i="19"/>
  <c r="C247" i="19"/>
  <c r="F246" i="19"/>
  <c r="D246" i="19"/>
  <c r="C246" i="19"/>
  <c r="F245" i="19"/>
  <c r="D245" i="19"/>
  <c r="C245" i="19"/>
  <c r="I244" i="19"/>
  <c r="H244" i="19"/>
  <c r="G244" i="19"/>
  <c r="F244" i="19"/>
  <c r="E244" i="19"/>
  <c r="D244" i="19"/>
  <c r="C244" i="19"/>
  <c r="B244" i="19"/>
  <c r="K241" i="19"/>
  <c r="I241" i="19"/>
  <c r="G241" i="19"/>
  <c r="D241" i="19"/>
  <c r="B241" i="19"/>
  <c r="K240" i="19"/>
  <c r="I240" i="19"/>
  <c r="G240" i="19"/>
  <c r="E240" i="19"/>
  <c r="C240" i="19"/>
  <c r="B240" i="19"/>
  <c r="K239" i="19"/>
  <c r="I239" i="19"/>
  <c r="G239" i="19"/>
  <c r="E239" i="19"/>
  <c r="C239" i="19"/>
  <c r="B239" i="19"/>
  <c r="K238" i="19"/>
  <c r="I238" i="19"/>
  <c r="G238" i="19"/>
  <c r="E238" i="19"/>
  <c r="C238" i="19"/>
  <c r="B238" i="19"/>
  <c r="K237" i="19"/>
  <c r="I237" i="19"/>
  <c r="G237" i="19"/>
  <c r="E237" i="19"/>
  <c r="C237" i="19"/>
  <c r="B237" i="19"/>
  <c r="K236" i="19"/>
  <c r="I236" i="19"/>
  <c r="G236" i="19"/>
  <c r="E236" i="19"/>
  <c r="C236" i="19"/>
  <c r="B236" i="19"/>
  <c r="K235" i="19"/>
  <c r="I235" i="19"/>
  <c r="G235" i="19"/>
  <c r="E235" i="19"/>
  <c r="C235" i="19"/>
  <c r="B235" i="19"/>
  <c r="K234" i="19"/>
  <c r="I234" i="19"/>
  <c r="G234" i="19"/>
  <c r="E234" i="19"/>
  <c r="C234" i="19"/>
  <c r="B234" i="19"/>
  <c r="K233" i="19"/>
  <c r="I233" i="19"/>
  <c r="G233" i="19"/>
  <c r="E233" i="19"/>
  <c r="C233" i="19"/>
  <c r="B233" i="19"/>
  <c r="K232" i="19"/>
  <c r="I232" i="19"/>
  <c r="G232" i="19"/>
  <c r="E232" i="19"/>
  <c r="C232" i="19"/>
  <c r="B232" i="19"/>
  <c r="K231" i="19"/>
  <c r="I231" i="19"/>
  <c r="G231" i="19"/>
  <c r="E231" i="19"/>
  <c r="C231" i="19"/>
  <c r="B231" i="19"/>
  <c r="K230" i="19"/>
  <c r="I230" i="19"/>
  <c r="G230" i="19"/>
  <c r="E230" i="19"/>
  <c r="C230" i="19"/>
  <c r="B230" i="19"/>
  <c r="K229" i="19"/>
  <c r="I229" i="19"/>
  <c r="G229" i="19"/>
  <c r="E229" i="19"/>
  <c r="C229" i="19"/>
  <c r="B229" i="19"/>
  <c r="K228" i="19"/>
  <c r="I228" i="19"/>
  <c r="G228" i="19"/>
  <c r="E228" i="19"/>
  <c r="C228" i="19"/>
  <c r="B228" i="19"/>
  <c r="K227" i="19"/>
  <c r="I227" i="19"/>
  <c r="G227" i="19"/>
  <c r="E227" i="19"/>
  <c r="C227" i="19"/>
  <c r="B227" i="19"/>
  <c r="L226" i="19"/>
  <c r="K226" i="19"/>
  <c r="J226" i="19"/>
  <c r="I226" i="19"/>
  <c r="H226" i="19"/>
  <c r="G226" i="19"/>
  <c r="F226" i="19"/>
  <c r="E226" i="19"/>
  <c r="D226" i="19"/>
  <c r="C226" i="19"/>
  <c r="B226" i="19"/>
  <c r="B224" i="19"/>
  <c r="F223" i="19"/>
  <c r="E223" i="19"/>
  <c r="D223" i="19"/>
  <c r="C223" i="19"/>
  <c r="B223" i="19"/>
  <c r="E222" i="19"/>
  <c r="D222" i="19"/>
  <c r="C222" i="19"/>
  <c r="E221" i="19"/>
  <c r="D221" i="19"/>
  <c r="C221" i="19"/>
  <c r="E220" i="19"/>
  <c r="D220" i="19"/>
  <c r="C220" i="19"/>
  <c r="E219" i="19"/>
  <c r="D219" i="19"/>
  <c r="C219" i="19"/>
  <c r="E218" i="19"/>
  <c r="D218" i="19"/>
  <c r="C218" i="19"/>
  <c r="E217" i="19"/>
  <c r="D217" i="19"/>
  <c r="C217" i="19"/>
  <c r="E216" i="19"/>
  <c r="D216" i="19"/>
  <c r="C216" i="19"/>
  <c r="E215" i="19"/>
  <c r="D215" i="19"/>
  <c r="C215" i="19"/>
  <c r="E214" i="19"/>
  <c r="D214" i="19"/>
  <c r="C214" i="19"/>
  <c r="E213" i="19"/>
  <c r="D213" i="19"/>
  <c r="C213" i="19"/>
  <c r="E212" i="19"/>
  <c r="D212" i="19"/>
  <c r="C212" i="19"/>
  <c r="E211" i="19"/>
  <c r="D211" i="19"/>
  <c r="C211" i="19"/>
  <c r="E210" i="19"/>
  <c r="D210" i="19"/>
  <c r="C210" i="19"/>
  <c r="E209" i="19"/>
  <c r="D209" i="19"/>
  <c r="C209" i="19"/>
  <c r="H208" i="19"/>
  <c r="G208" i="19"/>
  <c r="F208" i="19"/>
  <c r="E208" i="19"/>
  <c r="D208" i="19"/>
  <c r="C208" i="19"/>
  <c r="B208" i="19"/>
  <c r="B206" i="19"/>
  <c r="H205" i="19"/>
  <c r="E205" i="19"/>
  <c r="D205" i="19"/>
  <c r="C205" i="19"/>
  <c r="B205" i="19"/>
  <c r="D204" i="19"/>
  <c r="C204" i="19"/>
  <c r="D203" i="19"/>
  <c r="C203" i="19"/>
  <c r="D202" i="19"/>
  <c r="C202" i="19"/>
  <c r="D201" i="19"/>
  <c r="C201" i="19"/>
  <c r="D200" i="19"/>
  <c r="C200" i="19"/>
  <c r="D199" i="19"/>
  <c r="C199" i="19"/>
  <c r="D198" i="19"/>
  <c r="C198" i="19"/>
  <c r="D197" i="19"/>
  <c r="C197" i="19"/>
  <c r="D196" i="19"/>
  <c r="C196" i="19"/>
  <c r="D195" i="19"/>
  <c r="C195" i="19"/>
  <c r="D194" i="19"/>
  <c r="C194" i="19"/>
  <c r="D193" i="19"/>
  <c r="C193" i="19"/>
  <c r="D192" i="19"/>
  <c r="C192" i="19"/>
  <c r="D191" i="19"/>
  <c r="C191" i="19"/>
  <c r="I190" i="19"/>
  <c r="H190" i="19"/>
  <c r="G190" i="19"/>
  <c r="F190" i="19"/>
  <c r="E190" i="19"/>
  <c r="D190" i="19"/>
  <c r="C190" i="19"/>
  <c r="B190" i="19"/>
  <c r="B188" i="19"/>
  <c r="F187" i="19"/>
  <c r="D187" i="19"/>
  <c r="C187" i="19"/>
  <c r="B187" i="19"/>
  <c r="F186" i="19"/>
  <c r="D186" i="19"/>
  <c r="C186" i="19"/>
  <c r="F185" i="19"/>
  <c r="D185" i="19"/>
  <c r="C185" i="19"/>
  <c r="F184" i="19"/>
  <c r="D184" i="19"/>
  <c r="C184" i="19"/>
  <c r="F183" i="19"/>
  <c r="D183" i="19"/>
  <c r="C183" i="19"/>
  <c r="F182" i="19"/>
  <c r="D182" i="19"/>
  <c r="C182" i="19"/>
  <c r="F181" i="19"/>
  <c r="D181" i="19"/>
  <c r="C181" i="19"/>
  <c r="F180" i="19"/>
  <c r="D180" i="19"/>
  <c r="C180" i="19"/>
  <c r="F179" i="19"/>
  <c r="D179" i="19"/>
  <c r="C179" i="19"/>
  <c r="F178" i="19"/>
  <c r="D178" i="19"/>
  <c r="C178" i="19"/>
  <c r="F177" i="19"/>
  <c r="D177" i="19"/>
  <c r="C177" i="19"/>
  <c r="F176" i="19"/>
  <c r="D176" i="19"/>
  <c r="C176" i="19"/>
  <c r="F175" i="19"/>
  <c r="D175" i="19"/>
  <c r="C175" i="19"/>
  <c r="F174" i="19"/>
  <c r="D174" i="19"/>
  <c r="C174" i="19"/>
  <c r="F173" i="19"/>
  <c r="D173" i="19"/>
  <c r="C173" i="19"/>
  <c r="H172" i="19"/>
  <c r="G172" i="19"/>
  <c r="F172" i="19"/>
  <c r="E172" i="19"/>
  <c r="D172" i="19"/>
  <c r="C172" i="19"/>
  <c r="B172" i="19"/>
  <c r="K169" i="19"/>
  <c r="I169" i="19"/>
  <c r="H169" i="19"/>
  <c r="G169" i="19"/>
  <c r="F169" i="19"/>
  <c r="E169" i="19"/>
  <c r="D169" i="19"/>
  <c r="B169" i="19"/>
  <c r="K168" i="19"/>
  <c r="I168" i="19"/>
  <c r="G168" i="19"/>
  <c r="E168" i="19"/>
  <c r="C168" i="19"/>
  <c r="B168" i="19"/>
  <c r="K167" i="19"/>
  <c r="I167" i="19"/>
  <c r="G167" i="19"/>
  <c r="E167" i="19"/>
  <c r="C167" i="19"/>
  <c r="B167" i="19"/>
  <c r="K166" i="19"/>
  <c r="I166" i="19"/>
  <c r="G166" i="19"/>
  <c r="E166" i="19"/>
  <c r="C166" i="19"/>
  <c r="B166" i="19"/>
  <c r="K165" i="19"/>
  <c r="I165" i="19"/>
  <c r="G165" i="19"/>
  <c r="E165" i="19"/>
  <c r="C165" i="19"/>
  <c r="B165" i="19"/>
  <c r="K164" i="19"/>
  <c r="I164" i="19"/>
  <c r="G164" i="19"/>
  <c r="E164" i="19"/>
  <c r="C164" i="19"/>
  <c r="B164" i="19"/>
  <c r="K163" i="19"/>
  <c r="I163" i="19"/>
  <c r="G163" i="19"/>
  <c r="E163" i="19"/>
  <c r="C163" i="19"/>
  <c r="B163" i="19"/>
  <c r="K162" i="19"/>
  <c r="I162" i="19"/>
  <c r="G162" i="19"/>
  <c r="E162" i="19"/>
  <c r="C162" i="19"/>
  <c r="B162" i="19"/>
  <c r="K161" i="19"/>
  <c r="I161" i="19"/>
  <c r="G161" i="19"/>
  <c r="E161" i="19"/>
  <c r="C161" i="19"/>
  <c r="B161" i="19"/>
  <c r="K160" i="19"/>
  <c r="I160" i="19"/>
  <c r="G160" i="19"/>
  <c r="E160" i="19"/>
  <c r="C160" i="19"/>
  <c r="B160" i="19"/>
  <c r="K159" i="19"/>
  <c r="I159" i="19"/>
  <c r="G159" i="19"/>
  <c r="E159" i="19"/>
  <c r="C159" i="19"/>
  <c r="B159" i="19"/>
  <c r="K158" i="19"/>
  <c r="I158" i="19"/>
  <c r="G158" i="19"/>
  <c r="E158" i="19"/>
  <c r="C158" i="19"/>
  <c r="B158" i="19"/>
  <c r="K157" i="19"/>
  <c r="I157" i="19"/>
  <c r="G157" i="19"/>
  <c r="E157" i="19"/>
  <c r="C157" i="19"/>
  <c r="B157" i="19"/>
  <c r="K156" i="19"/>
  <c r="I156" i="19"/>
  <c r="G156" i="19"/>
  <c r="E156" i="19"/>
  <c r="C156" i="19"/>
  <c r="B156" i="19"/>
  <c r="K155" i="19"/>
  <c r="I155" i="19"/>
  <c r="G155" i="19"/>
  <c r="E155" i="19"/>
  <c r="C155" i="19"/>
  <c r="B155" i="19"/>
  <c r="L154" i="19"/>
  <c r="K154" i="19"/>
  <c r="J154" i="19"/>
  <c r="I154" i="19"/>
  <c r="H154" i="19"/>
  <c r="G154" i="19"/>
  <c r="F154" i="19"/>
  <c r="E154" i="19"/>
  <c r="D154" i="19"/>
  <c r="C154" i="19"/>
  <c r="B154" i="19"/>
  <c r="G151" i="19"/>
  <c r="B151" i="19"/>
  <c r="G150" i="19"/>
  <c r="F150" i="19"/>
  <c r="E150" i="19"/>
  <c r="D150" i="19"/>
  <c r="C150" i="19"/>
  <c r="B150" i="19"/>
  <c r="H148" i="19"/>
  <c r="G148" i="19"/>
  <c r="F148" i="19"/>
  <c r="E148" i="19"/>
  <c r="D148" i="19"/>
  <c r="C148" i="19"/>
  <c r="B148" i="19"/>
  <c r="F147" i="19"/>
  <c r="E147" i="19"/>
  <c r="D147" i="19"/>
  <c r="C147" i="19"/>
  <c r="B147" i="19"/>
  <c r="E146" i="19"/>
  <c r="D146" i="19"/>
  <c r="C146" i="19"/>
  <c r="E145" i="19"/>
  <c r="D145" i="19"/>
  <c r="C145" i="19"/>
  <c r="E144" i="19"/>
  <c r="D144" i="19"/>
  <c r="C144" i="19"/>
  <c r="E143" i="19"/>
  <c r="D143" i="19"/>
  <c r="C143" i="19"/>
  <c r="E142" i="19"/>
  <c r="D142" i="19"/>
  <c r="C142" i="19"/>
  <c r="E141" i="19"/>
  <c r="D141" i="19"/>
  <c r="C141" i="19"/>
  <c r="E140" i="19"/>
  <c r="D140" i="19"/>
  <c r="C140" i="19"/>
  <c r="E139" i="19"/>
  <c r="D139" i="19"/>
  <c r="C139" i="19"/>
  <c r="E138" i="19"/>
  <c r="D138" i="19"/>
  <c r="C138" i="19"/>
  <c r="E137" i="19"/>
  <c r="D137" i="19"/>
  <c r="C137" i="19"/>
  <c r="E136" i="19"/>
  <c r="D136" i="19"/>
  <c r="C136" i="19"/>
  <c r="E135" i="19"/>
  <c r="D135" i="19"/>
  <c r="C135" i="19"/>
  <c r="E134" i="19"/>
  <c r="D134" i="19"/>
  <c r="C134" i="19"/>
  <c r="E133" i="19"/>
  <c r="D133" i="19"/>
  <c r="C133" i="19"/>
  <c r="H132" i="19"/>
  <c r="G132" i="19"/>
  <c r="F132" i="19"/>
  <c r="E132" i="19"/>
  <c r="D132" i="19"/>
  <c r="C132" i="19"/>
  <c r="B132" i="19"/>
  <c r="B130" i="19"/>
  <c r="H129" i="19"/>
  <c r="E129" i="19"/>
  <c r="D129" i="19"/>
  <c r="C129" i="19"/>
  <c r="B129" i="19"/>
  <c r="C128" i="19"/>
  <c r="C127" i="19"/>
  <c r="C126" i="19"/>
  <c r="C125" i="19"/>
  <c r="C124" i="19"/>
  <c r="C123" i="19"/>
  <c r="C122" i="19"/>
  <c r="C121" i="19"/>
  <c r="C120" i="19"/>
  <c r="C119" i="19"/>
  <c r="C118" i="19"/>
  <c r="C117" i="19"/>
  <c r="C116" i="19"/>
  <c r="C115" i="19"/>
  <c r="I114" i="19"/>
  <c r="H114" i="19"/>
  <c r="G114" i="19"/>
  <c r="F114" i="19"/>
  <c r="E114" i="19"/>
  <c r="D114" i="19"/>
  <c r="C114" i="19"/>
  <c r="B114" i="19"/>
  <c r="F111" i="19"/>
  <c r="D111" i="19"/>
  <c r="C111" i="19"/>
  <c r="B111" i="19"/>
  <c r="F110" i="19"/>
  <c r="D110" i="19"/>
  <c r="C110" i="19"/>
  <c r="F109" i="19"/>
  <c r="D109" i="19"/>
  <c r="C109" i="19"/>
  <c r="F108" i="19"/>
  <c r="D108" i="19"/>
  <c r="C108" i="19"/>
  <c r="F107" i="19"/>
  <c r="D107" i="19"/>
  <c r="C107" i="19"/>
  <c r="F106" i="19"/>
  <c r="D106" i="19"/>
  <c r="C106" i="19"/>
  <c r="F105" i="19"/>
  <c r="D105" i="19"/>
  <c r="C105" i="19"/>
  <c r="F104" i="19"/>
  <c r="D104" i="19"/>
  <c r="C104" i="19"/>
  <c r="F103" i="19"/>
  <c r="D103" i="19"/>
  <c r="C103" i="19"/>
  <c r="F102" i="19"/>
  <c r="D102" i="19"/>
  <c r="C102" i="19"/>
  <c r="F101" i="19"/>
  <c r="D101" i="19"/>
  <c r="C101" i="19"/>
  <c r="F100" i="19"/>
  <c r="D100" i="19"/>
  <c r="C100" i="19"/>
  <c r="F99" i="19"/>
  <c r="D99" i="19"/>
  <c r="C99" i="19"/>
  <c r="F98" i="19"/>
  <c r="D98" i="19"/>
  <c r="C98" i="19"/>
  <c r="F97" i="19"/>
  <c r="D97" i="19"/>
  <c r="C97" i="19"/>
  <c r="H96" i="19"/>
  <c r="G96" i="19"/>
  <c r="F96" i="19"/>
  <c r="E96" i="19"/>
  <c r="D96" i="19"/>
  <c r="C96" i="19"/>
  <c r="B96" i="19"/>
  <c r="J93" i="19"/>
  <c r="F93" i="19"/>
  <c r="E93" i="19"/>
  <c r="D93" i="19"/>
  <c r="B93" i="19"/>
  <c r="J92" i="19"/>
  <c r="H92" i="19"/>
  <c r="E92" i="19"/>
  <c r="C92" i="19"/>
  <c r="B92" i="19"/>
  <c r="J91" i="19"/>
  <c r="H91" i="19"/>
  <c r="E91" i="19"/>
  <c r="C91" i="19"/>
  <c r="B91" i="19"/>
  <c r="J90" i="19"/>
  <c r="H90" i="19"/>
  <c r="E90" i="19"/>
  <c r="C90" i="19"/>
  <c r="B90" i="19"/>
  <c r="J89" i="19"/>
  <c r="H89" i="19"/>
  <c r="E89" i="19"/>
  <c r="C89" i="19"/>
  <c r="B89" i="19"/>
  <c r="J88" i="19"/>
  <c r="H88" i="19"/>
  <c r="E88" i="19"/>
  <c r="C88" i="19"/>
  <c r="B88" i="19"/>
  <c r="J87" i="19"/>
  <c r="H87" i="19"/>
  <c r="E87" i="19"/>
  <c r="C87" i="19"/>
  <c r="B87" i="19"/>
  <c r="J86" i="19"/>
  <c r="H86" i="19"/>
  <c r="E86" i="19"/>
  <c r="C86" i="19"/>
  <c r="B86" i="19"/>
  <c r="J85" i="19"/>
  <c r="H85" i="19"/>
  <c r="E85" i="19"/>
  <c r="C85" i="19"/>
  <c r="B85" i="19"/>
  <c r="J84" i="19"/>
  <c r="H84" i="19"/>
  <c r="E84" i="19"/>
  <c r="C84" i="19"/>
  <c r="B84" i="19"/>
  <c r="J83" i="19"/>
  <c r="H83" i="19"/>
  <c r="E83" i="19"/>
  <c r="C83" i="19"/>
  <c r="B83" i="19"/>
  <c r="J82" i="19"/>
  <c r="H82" i="19"/>
  <c r="E82" i="19"/>
  <c r="C82" i="19"/>
  <c r="B82" i="19"/>
  <c r="J81" i="19"/>
  <c r="H81" i="19"/>
  <c r="E81" i="19"/>
  <c r="C81" i="19"/>
  <c r="B81" i="19"/>
  <c r="J80" i="19"/>
  <c r="H80" i="19"/>
  <c r="E80" i="19"/>
  <c r="C80" i="19"/>
  <c r="B80" i="19"/>
  <c r="J79" i="19"/>
  <c r="H79" i="19"/>
  <c r="E79" i="19"/>
  <c r="C79" i="19"/>
  <c r="B79" i="19"/>
  <c r="K78" i="19"/>
  <c r="J78" i="19"/>
  <c r="I78" i="19"/>
  <c r="H78" i="19"/>
  <c r="G78" i="19"/>
  <c r="F78" i="19"/>
  <c r="E78" i="19"/>
  <c r="D78" i="19"/>
  <c r="C78" i="19"/>
  <c r="B78" i="19"/>
  <c r="M77" i="19"/>
  <c r="H76" i="19"/>
  <c r="G76" i="19"/>
  <c r="F76" i="19"/>
  <c r="E76" i="19"/>
  <c r="D76" i="19"/>
  <c r="C76" i="19"/>
  <c r="B76" i="19"/>
  <c r="F75" i="19"/>
  <c r="E75" i="19"/>
  <c r="D75" i="19"/>
  <c r="C75" i="19"/>
  <c r="B75" i="19"/>
  <c r="E74" i="19"/>
  <c r="D74" i="19"/>
  <c r="C74" i="19"/>
  <c r="E73" i="19"/>
  <c r="D73" i="19"/>
  <c r="C73" i="19"/>
  <c r="E72" i="19"/>
  <c r="D72" i="19"/>
  <c r="C72" i="19"/>
  <c r="E71" i="19"/>
  <c r="D71" i="19"/>
  <c r="C71" i="19"/>
  <c r="E70" i="19"/>
  <c r="D70" i="19"/>
  <c r="C70" i="19"/>
  <c r="E69" i="19"/>
  <c r="D69" i="19"/>
  <c r="C69" i="19"/>
  <c r="E68" i="19"/>
  <c r="D68" i="19"/>
  <c r="C68" i="19"/>
  <c r="E67" i="19"/>
  <c r="D67" i="19"/>
  <c r="C67" i="19"/>
  <c r="E66" i="19"/>
  <c r="D66" i="19"/>
  <c r="C66" i="19"/>
  <c r="E65" i="19"/>
  <c r="D65" i="19"/>
  <c r="C65" i="19"/>
  <c r="E64" i="19"/>
  <c r="D64" i="19"/>
  <c r="C64" i="19"/>
  <c r="E63" i="19"/>
  <c r="D63" i="19"/>
  <c r="C63" i="19"/>
  <c r="E62" i="19"/>
  <c r="D62" i="19"/>
  <c r="C62" i="19"/>
  <c r="E61" i="19"/>
  <c r="D61" i="19"/>
  <c r="C61" i="19"/>
  <c r="H60" i="19"/>
  <c r="G60" i="19"/>
  <c r="F60" i="19"/>
  <c r="E60" i="19"/>
  <c r="D60" i="19"/>
  <c r="C60" i="19"/>
  <c r="B60" i="19"/>
  <c r="H57" i="19"/>
  <c r="E57" i="19"/>
  <c r="D57" i="19"/>
  <c r="C57" i="19"/>
  <c r="B57" i="19"/>
  <c r="D56" i="19"/>
  <c r="C56" i="19"/>
  <c r="D55" i="19"/>
  <c r="C55" i="19"/>
  <c r="D54" i="19"/>
  <c r="C54" i="19"/>
  <c r="D53" i="19"/>
  <c r="C53" i="19"/>
  <c r="D52" i="19"/>
  <c r="C52" i="19"/>
  <c r="D51" i="19"/>
  <c r="C51" i="19"/>
  <c r="D50" i="19"/>
  <c r="C50" i="19"/>
  <c r="D49" i="19"/>
  <c r="C49" i="19"/>
  <c r="D48" i="19"/>
  <c r="C48" i="19"/>
  <c r="C47" i="19"/>
  <c r="C46" i="19"/>
  <c r="C45" i="19"/>
  <c r="C44" i="19"/>
  <c r="C43" i="19"/>
  <c r="I42" i="19"/>
  <c r="H42" i="19"/>
  <c r="G42" i="19"/>
  <c r="F42" i="19"/>
  <c r="E42" i="19"/>
  <c r="D42" i="19"/>
  <c r="C42" i="19"/>
  <c r="B42" i="19"/>
  <c r="F39" i="19"/>
  <c r="D39" i="19"/>
  <c r="C39" i="19"/>
  <c r="B39" i="19"/>
  <c r="F38" i="19"/>
  <c r="D38" i="19"/>
  <c r="C38" i="19"/>
  <c r="F37" i="19"/>
  <c r="D37" i="19"/>
  <c r="C37" i="19"/>
  <c r="F36" i="19"/>
  <c r="D36" i="19"/>
  <c r="C36" i="19"/>
  <c r="F35" i="19"/>
  <c r="D35" i="19"/>
  <c r="C35" i="19"/>
  <c r="F34" i="19"/>
  <c r="D34" i="19"/>
  <c r="C34" i="19"/>
  <c r="F33" i="19"/>
  <c r="D33" i="19"/>
  <c r="C33" i="19"/>
  <c r="F32" i="19"/>
  <c r="D32" i="19"/>
  <c r="C32" i="19"/>
  <c r="F31" i="19"/>
  <c r="D31" i="19"/>
  <c r="C31" i="19"/>
  <c r="F30" i="19"/>
  <c r="D30" i="19"/>
  <c r="C30" i="19"/>
  <c r="F29" i="19"/>
  <c r="D29" i="19"/>
  <c r="C29" i="19"/>
  <c r="F28" i="19"/>
  <c r="D28" i="19"/>
  <c r="C28" i="19"/>
  <c r="F27" i="19"/>
  <c r="D27" i="19"/>
  <c r="C27" i="19"/>
  <c r="F26" i="19"/>
  <c r="D26" i="19"/>
  <c r="C26" i="19"/>
  <c r="F25" i="19"/>
  <c r="D25" i="19"/>
  <c r="C25" i="19"/>
  <c r="H24" i="19"/>
  <c r="G24" i="19"/>
  <c r="F24" i="19"/>
  <c r="E24" i="19"/>
  <c r="D24" i="19"/>
  <c r="C24" i="19"/>
  <c r="B24" i="19"/>
  <c r="J21" i="19"/>
  <c r="F21" i="19"/>
  <c r="E21" i="19"/>
  <c r="D21" i="19"/>
  <c r="B21" i="19"/>
  <c r="J20" i="19"/>
  <c r="H20" i="19"/>
  <c r="E20" i="19"/>
  <c r="C20" i="19"/>
  <c r="B20" i="19"/>
  <c r="J19" i="19"/>
  <c r="H19" i="19"/>
  <c r="E19" i="19"/>
  <c r="C19" i="19"/>
  <c r="B19" i="19"/>
  <c r="J18" i="19"/>
  <c r="H18" i="19"/>
  <c r="E18" i="19"/>
  <c r="C18" i="19"/>
  <c r="B18" i="19"/>
  <c r="J17" i="19"/>
  <c r="H17" i="19"/>
  <c r="E17" i="19"/>
  <c r="C17" i="19"/>
  <c r="B17" i="19"/>
  <c r="J16" i="19"/>
  <c r="H16" i="19"/>
  <c r="E16" i="19"/>
  <c r="C16" i="19"/>
  <c r="B16" i="19"/>
  <c r="J15" i="19"/>
  <c r="H15" i="19"/>
  <c r="E15" i="19"/>
  <c r="C15" i="19"/>
  <c r="B15" i="19"/>
  <c r="J14" i="19"/>
  <c r="H14" i="19"/>
  <c r="E14" i="19"/>
  <c r="C14" i="19"/>
  <c r="B14" i="19"/>
  <c r="J13" i="19"/>
  <c r="H13" i="19"/>
  <c r="E13" i="19"/>
  <c r="C13" i="19"/>
  <c r="B13" i="19"/>
  <c r="J12" i="19"/>
  <c r="H12" i="19"/>
  <c r="E12" i="19"/>
  <c r="C12" i="19"/>
  <c r="B12" i="19"/>
  <c r="J11" i="19"/>
  <c r="H11" i="19"/>
  <c r="E11" i="19"/>
  <c r="C11" i="19"/>
  <c r="B11" i="19"/>
  <c r="J10" i="19"/>
  <c r="H10" i="19"/>
  <c r="E10" i="19"/>
  <c r="C10" i="19"/>
  <c r="B10" i="19"/>
  <c r="J9" i="19"/>
  <c r="H9" i="19"/>
  <c r="E9" i="19"/>
  <c r="C9" i="19"/>
  <c r="B9" i="19"/>
  <c r="J8" i="19"/>
  <c r="H8" i="19"/>
  <c r="E8" i="19"/>
  <c r="C8" i="19"/>
  <c r="B8" i="19"/>
  <c r="J7" i="19"/>
  <c r="H7" i="19"/>
  <c r="E7" i="19"/>
  <c r="C7" i="19"/>
  <c r="B7" i="19"/>
  <c r="K6" i="19"/>
  <c r="J6" i="19"/>
  <c r="I6" i="19"/>
  <c r="H6" i="19"/>
  <c r="G6" i="19"/>
  <c r="F6" i="19"/>
  <c r="E6" i="19"/>
  <c r="D6" i="19"/>
  <c r="C6" i="19"/>
  <c r="B6" i="19"/>
  <c r="D9" i="17"/>
  <c r="E9" i="17" s="1"/>
  <c r="F9" i="17" s="1"/>
  <c r="C9" i="17"/>
  <c r="D8" i="17"/>
  <c r="E8" i="17" s="1"/>
  <c r="F8" i="17" s="1"/>
  <c r="C8" i="17"/>
  <c r="D7" i="17"/>
  <c r="E7" i="17" s="1"/>
  <c r="F7" i="17" s="1"/>
  <c r="C7" i="17"/>
  <c r="D6" i="17"/>
  <c r="E6" i="17" s="1"/>
  <c r="F6" i="17" s="1"/>
  <c r="C6" i="17"/>
  <c r="D5" i="17"/>
  <c r="D14" i="17" s="1"/>
  <c r="C5" i="17"/>
  <c r="C14" i="17" s="1"/>
  <c r="V23" i="3"/>
  <c r="R23" i="3"/>
  <c r="N23" i="3"/>
  <c r="J23" i="3"/>
  <c r="F23" i="3"/>
  <c r="B23" i="3"/>
  <c r="C20" i="3"/>
  <c r="D15" i="15"/>
  <c r="E15" i="15" s="1"/>
  <c r="F15" i="15" s="1"/>
  <c r="C15" i="15"/>
  <c r="D14" i="15"/>
  <c r="E14" i="15" s="1"/>
  <c r="F14" i="15" s="1"/>
  <c r="C14" i="15"/>
  <c r="E12" i="15"/>
  <c r="F12" i="15" s="1"/>
  <c r="D12" i="15"/>
  <c r="C12" i="15"/>
  <c r="D11" i="15"/>
  <c r="E11" i="15" s="1"/>
  <c r="F11" i="15" s="1"/>
  <c r="C11" i="15"/>
  <c r="D10" i="15"/>
  <c r="E10" i="15" s="1"/>
  <c r="F10" i="15" s="1"/>
  <c r="C10" i="15"/>
  <c r="D9" i="15"/>
  <c r="E9" i="15" s="1"/>
  <c r="F9" i="15" s="1"/>
  <c r="C9" i="15"/>
  <c r="D8" i="15"/>
  <c r="E8" i="15" s="1"/>
  <c r="F8" i="15" s="1"/>
  <c r="C8" i="15"/>
  <c r="D7" i="15"/>
  <c r="E7" i="15" s="1"/>
  <c r="F7" i="15" s="1"/>
  <c r="C7" i="15"/>
  <c r="D6" i="15"/>
  <c r="E6" i="15" s="1"/>
  <c r="F6" i="15" s="1"/>
  <c r="C6" i="15"/>
  <c r="D5" i="15"/>
  <c r="C5" i="15"/>
  <c r="Z41" i="14"/>
  <c r="Y41" i="14"/>
  <c r="X41" i="14"/>
  <c r="W27" i="3" s="1"/>
  <c r="W41" i="14"/>
  <c r="V27" i="3" s="1"/>
  <c r="V41" i="14"/>
  <c r="U41" i="14"/>
  <c r="T41" i="14"/>
  <c r="S27" i="3" s="1"/>
  <c r="S41" i="14"/>
  <c r="R27" i="3" s="1"/>
  <c r="R41" i="14"/>
  <c r="Q41" i="14"/>
  <c r="P41" i="14"/>
  <c r="O41" i="14"/>
  <c r="N27" i="3" s="1"/>
  <c r="N41" i="14"/>
  <c r="M41" i="14"/>
  <c r="L41" i="14"/>
  <c r="K41" i="14"/>
  <c r="J27" i="3" s="1"/>
  <c r="J41" i="14"/>
  <c r="I41" i="14"/>
  <c r="H41" i="14"/>
  <c r="G27" i="3" s="1"/>
  <c r="G41" i="14"/>
  <c r="F27" i="3" s="1"/>
  <c r="F41" i="14"/>
  <c r="E41" i="14"/>
  <c r="D41" i="14"/>
  <c r="C41" i="14"/>
  <c r="B27" i="3" s="1"/>
  <c r="B499" i="19"/>
  <c r="G21" i="14"/>
  <c r="N21" i="14" s="1"/>
  <c r="G20" i="14"/>
  <c r="N20" i="14" s="1"/>
  <c r="G19" i="14"/>
  <c r="N19" i="14" s="1"/>
  <c r="G18" i="14"/>
  <c r="N18" i="14" s="1"/>
  <c r="F18" i="14"/>
  <c r="O18" i="14" s="1"/>
  <c r="A13" i="14"/>
  <c r="B507" i="19" s="1"/>
  <c r="B503" i="19"/>
  <c r="B502" i="19"/>
  <c r="B501" i="19"/>
  <c r="B500" i="19"/>
  <c r="C30" i="13"/>
  <c r="B25" i="3" s="1"/>
  <c r="H29" i="13"/>
  <c r="D28" i="13"/>
  <c r="E28" i="13" s="1"/>
  <c r="F28" i="13" s="1"/>
  <c r="G28" i="13" s="1"/>
  <c r="H28" i="13" s="1"/>
  <c r="I28" i="13" s="1"/>
  <c r="J28" i="13" s="1"/>
  <c r="K28" i="13" s="1"/>
  <c r="L28" i="13" s="1"/>
  <c r="M28" i="13" s="1"/>
  <c r="N28" i="13" s="1"/>
  <c r="O28" i="13" s="1"/>
  <c r="P28" i="13" s="1"/>
  <c r="D27" i="13"/>
  <c r="E5" i="13"/>
  <c r="C33" i="12"/>
  <c r="B22" i="3" s="1"/>
  <c r="D33" i="12"/>
  <c r="C22" i="3" s="1"/>
  <c r="D8" i="12"/>
  <c r="E8" i="12" s="1"/>
  <c r="F8" i="12" s="1"/>
  <c r="C8" i="12"/>
  <c r="D7" i="12"/>
  <c r="E7" i="12" s="1"/>
  <c r="F7" i="12" s="1"/>
  <c r="C7" i="12"/>
  <c r="D6" i="12"/>
  <c r="E6" i="12" s="1"/>
  <c r="F6" i="12" s="1"/>
  <c r="C6" i="12"/>
  <c r="D52" i="11"/>
  <c r="B21" i="3" s="1"/>
  <c r="C11" i="10"/>
  <c r="C20" i="10" s="1"/>
  <c r="I525" i="19"/>
  <c r="B525" i="19"/>
  <c r="I524" i="19"/>
  <c r="B524" i="19"/>
  <c r="I523" i="19"/>
  <c r="B523" i="19"/>
  <c r="I522" i="19"/>
  <c r="B522" i="19"/>
  <c r="I521" i="19"/>
  <c r="B521" i="19"/>
  <c r="I520" i="19"/>
  <c r="B520" i="19"/>
  <c r="I519" i="19"/>
  <c r="B519" i="19"/>
  <c r="I518" i="19"/>
  <c r="B518" i="19"/>
  <c r="I517" i="19"/>
  <c r="B517" i="19"/>
  <c r="I516" i="19"/>
  <c r="B516" i="19"/>
  <c r="I515" i="19"/>
  <c r="B515" i="19"/>
  <c r="I514" i="19"/>
  <c r="B514" i="19"/>
  <c r="D513" i="19"/>
  <c r="B513" i="19"/>
  <c r="I512" i="19"/>
  <c r="B512" i="19"/>
  <c r="H276" i="19"/>
  <c r="E276" i="19"/>
  <c r="H275" i="19"/>
  <c r="E275" i="19"/>
  <c r="H274" i="19"/>
  <c r="E274" i="19"/>
  <c r="H273" i="19"/>
  <c r="E273" i="19"/>
  <c r="H272" i="19"/>
  <c r="E272" i="19"/>
  <c r="H271" i="19"/>
  <c r="E271" i="19"/>
  <c r="H270" i="19"/>
  <c r="E270" i="19"/>
  <c r="H269" i="19"/>
  <c r="E269" i="19"/>
  <c r="H268" i="19"/>
  <c r="E268" i="19"/>
  <c r="H267" i="19"/>
  <c r="E267" i="19"/>
  <c r="H266" i="19"/>
  <c r="E266" i="19"/>
  <c r="H265" i="19"/>
  <c r="E265" i="19"/>
  <c r="H264" i="19"/>
  <c r="D74" i="9"/>
  <c r="F74" i="9" s="1"/>
  <c r="H263" i="19"/>
  <c r="A71" i="9"/>
  <c r="H204" i="19"/>
  <c r="H203" i="19"/>
  <c r="H202" i="19"/>
  <c r="H201" i="19"/>
  <c r="H200" i="19"/>
  <c r="H199" i="19"/>
  <c r="H198" i="19"/>
  <c r="H197" i="19"/>
  <c r="H196" i="19"/>
  <c r="H195" i="19"/>
  <c r="H194" i="19"/>
  <c r="H193" i="19"/>
  <c r="H192" i="19"/>
  <c r="H191" i="19"/>
  <c r="A53" i="9"/>
  <c r="H128" i="19"/>
  <c r="D128" i="19"/>
  <c r="H127" i="19"/>
  <c r="D127" i="19"/>
  <c r="B36" i="2"/>
  <c r="H126" i="19"/>
  <c r="H125" i="19"/>
  <c r="D125" i="19"/>
  <c r="B34" i="2"/>
  <c r="H124" i="19"/>
  <c r="D124" i="19"/>
  <c r="B33" i="2"/>
  <c r="H123" i="19"/>
  <c r="D123" i="19"/>
  <c r="B32" i="2"/>
  <c r="H122" i="19"/>
  <c r="H121" i="19"/>
  <c r="D121" i="19"/>
  <c r="H120" i="19"/>
  <c r="D120" i="19"/>
  <c r="H119" i="19"/>
  <c r="B28" i="2"/>
  <c r="H118" i="19"/>
  <c r="D38" i="9"/>
  <c r="H117" i="19"/>
  <c r="H116" i="19"/>
  <c r="H115" i="19"/>
  <c r="B24" i="2"/>
  <c r="A33" i="9"/>
  <c r="H56" i="19"/>
  <c r="B19" i="2"/>
  <c r="H55" i="19"/>
  <c r="B18" i="2"/>
  <c r="H54" i="19"/>
  <c r="B17" i="2"/>
  <c r="H53" i="19"/>
  <c r="H52" i="19"/>
  <c r="H51" i="19"/>
  <c r="H50" i="19"/>
  <c r="H49" i="19"/>
  <c r="H48" i="19"/>
  <c r="B11" i="2"/>
  <c r="H47" i="19"/>
  <c r="B10" i="2"/>
  <c r="H46" i="19"/>
  <c r="D20" i="9"/>
  <c r="B9" i="2"/>
  <c r="H45" i="19"/>
  <c r="B8" i="2"/>
  <c r="H44" i="19"/>
  <c r="D18" i="9"/>
  <c r="B7" i="2"/>
  <c r="H43" i="19"/>
  <c r="D43" i="19"/>
  <c r="B6" i="2"/>
  <c r="A15" i="9"/>
  <c r="A12" i="9"/>
  <c r="E5" i="9"/>
  <c r="E4" i="9"/>
  <c r="G96" i="8"/>
  <c r="C324" i="19" s="1"/>
  <c r="E322" i="19"/>
  <c r="E320" i="19"/>
  <c r="E318" i="19"/>
  <c r="E316" i="19"/>
  <c r="E314" i="19"/>
  <c r="E312" i="19"/>
  <c r="E310" i="19"/>
  <c r="I79" i="8"/>
  <c r="E241" i="19" s="1"/>
  <c r="G79" i="8"/>
  <c r="H67" i="8" s="1"/>
  <c r="F240" i="19"/>
  <c r="F239" i="19"/>
  <c r="H238" i="19"/>
  <c r="F238" i="19"/>
  <c r="F237" i="19"/>
  <c r="D237" i="19"/>
  <c r="F236" i="19"/>
  <c r="D236" i="19"/>
  <c r="F235" i="19"/>
  <c r="D235" i="19"/>
  <c r="F234" i="19"/>
  <c r="F233" i="19"/>
  <c r="F232" i="19"/>
  <c r="F231" i="19"/>
  <c r="F230" i="19"/>
  <c r="F229" i="19"/>
  <c r="F228" i="19"/>
  <c r="F227" i="19"/>
  <c r="G61" i="8"/>
  <c r="F168" i="19"/>
  <c r="D168" i="19"/>
  <c r="H167" i="19"/>
  <c r="F167" i="19"/>
  <c r="H166" i="19"/>
  <c r="F166" i="19"/>
  <c r="F165" i="19"/>
  <c r="D165" i="19"/>
  <c r="O12" i="2"/>
  <c r="C333" i="19" s="1"/>
  <c r="F164" i="19"/>
  <c r="D164" i="19"/>
  <c r="H163" i="19"/>
  <c r="F163" i="19"/>
  <c r="F162" i="19"/>
  <c r="D162" i="19"/>
  <c r="C58" i="8"/>
  <c r="F161" i="19"/>
  <c r="D161" i="19"/>
  <c r="H160" i="19"/>
  <c r="F160" i="19"/>
  <c r="F159" i="19"/>
  <c r="H158" i="19"/>
  <c r="F158" i="19"/>
  <c r="F157" i="19"/>
  <c r="H156" i="19"/>
  <c r="F156" i="19"/>
  <c r="F155" i="19"/>
  <c r="H93" i="19"/>
  <c r="I92" i="19"/>
  <c r="G92" i="19"/>
  <c r="F92" i="19"/>
  <c r="I91" i="19"/>
  <c r="G91" i="19"/>
  <c r="F91" i="19"/>
  <c r="I90" i="19"/>
  <c r="G90" i="19"/>
  <c r="F90" i="19"/>
  <c r="G89" i="19"/>
  <c r="F89" i="19"/>
  <c r="I88" i="19"/>
  <c r="G88" i="19"/>
  <c r="F88" i="19"/>
  <c r="G87" i="19"/>
  <c r="F87" i="19"/>
  <c r="G86" i="19"/>
  <c r="F86" i="19"/>
  <c r="G85" i="19"/>
  <c r="F85" i="19"/>
  <c r="G84" i="19"/>
  <c r="F84" i="19"/>
  <c r="G83" i="19"/>
  <c r="F83" i="19"/>
  <c r="F82" i="19"/>
  <c r="F81" i="19"/>
  <c r="F80" i="19"/>
  <c r="F79" i="19"/>
  <c r="H21" i="19"/>
  <c r="G20" i="19"/>
  <c r="F20" i="19"/>
  <c r="I19" i="19"/>
  <c r="G19" i="19"/>
  <c r="F19" i="19"/>
  <c r="I18" i="19"/>
  <c r="G18" i="19"/>
  <c r="F18" i="19"/>
  <c r="I17" i="19"/>
  <c r="G17" i="19"/>
  <c r="F17" i="19"/>
  <c r="I16" i="19"/>
  <c r="G16" i="19"/>
  <c r="F16" i="19"/>
  <c r="K15" i="19"/>
  <c r="I15" i="19"/>
  <c r="G15" i="19"/>
  <c r="F15" i="19"/>
  <c r="C9" i="8"/>
  <c r="K14" i="19"/>
  <c r="I14" i="19"/>
  <c r="G14" i="19"/>
  <c r="F14" i="19"/>
  <c r="G13" i="19"/>
  <c r="F13" i="19"/>
  <c r="I12" i="19"/>
  <c r="G12" i="19"/>
  <c r="F12" i="19"/>
  <c r="G11" i="19"/>
  <c r="F11" i="19"/>
  <c r="F10" i="19"/>
  <c r="G9" i="19"/>
  <c r="F9" i="19"/>
  <c r="G8" i="19"/>
  <c r="F8" i="19"/>
  <c r="F7" i="19"/>
  <c r="I112" i="7"/>
  <c r="G112" i="7"/>
  <c r="H112" i="7" s="1"/>
  <c r="I111" i="7"/>
  <c r="G111" i="7"/>
  <c r="H111" i="7" s="1"/>
  <c r="I110" i="7"/>
  <c r="G110" i="7"/>
  <c r="H110" i="7" s="1"/>
  <c r="K109" i="7"/>
  <c r="I108" i="7"/>
  <c r="G108" i="7"/>
  <c r="H108" i="7" s="1"/>
  <c r="I107" i="7"/>
  <c r="G107" i="7"/>
  <c r="H107" i="7" s="1"/>
  <c r="I106" i="7"/>
  <c r="G106" i="7"/>
  <c r="H106" i="7" s="1"/>
  <c r="I105" i="7"/>
  <c r="G105" i="7"/>
  <c r="H105" i="7" s="1"/>
  <c r="I104" i="7"/>
  <c r="G104" i="7"/>
  <c r="H104" i="7" s="1"/>
  <c r="I103" i="7"/>
  <c r="G103" i="7"/>
  <c r="H103" i="7" s="1"/>
  <c r="I102" i="7"/>
  <c r="G102" i="7"/>
  <c r="H102" i="7" s="1"/>
  <c r="I101" i="7"/>
  <c r="G101" i="7"/>
  <c r="H101" i="7" s="1"/>
  <c r="I95" i="7"/>
  <c r="G95" i="7"/>
  <c r="H95" i="7" s="1"/>
  <c r="J95" i="7" s="1"/>
  <c r="I94" i="7"/>
  <c r="G94" i="7"/>
  <c r="H94" i="7" s="1"/>
  <c r="J94" i="7" s="1"/>
  <c r="I93" i="7"/>
  <c r="G93" i="7"/>
  <c r="H93" i="7" s="1"/>
  <c r="J93" i="7" s="1"/>
  <c r="K92" i="7"/>
  <c r="L92" i="7" s="1"/>
  <c r="AJ12" i="7" s="1"/>
  <c r="AL12" i="7" s="1"/>
  <c r="I91" i="7"/>
  <c r="G91" i="7"/>
  <c r="I90" i="7"/>
  <c r="G90" i="7"/>
  <c r="H90" i="7" s="1"/>
  <c r="J90" i="7" s="1"/>
  <c r="I89" i="7"/>
  <c r="G89" i="7"/>
  <c r="I88" i="7"/>
  <c r="G88" i="7"/>
  <c r="H88" i="7" s="1"/>
  <c r="J88" i="7" s="1"/>
  <c r="I87" i="7"/>
  <c r="G87" i="7"/>
  <c r="H87" i="7" s="1"/>
  <c r="J87" i="7" s="1"/>
  <c r="I86" i="7"/>
  <c r="G86" i="7"/>
  <c r="H86" i="7" s="1"/>
  <c r="J86" i="7" s="1"/>
  <c r="I85" i="7"/>
  <c r="H85" i="7"/>
  <c r="J85" i="7" s="1"/>
  <c r="I84" i="7"/>
  <c r="G84" i="7"/>
  <c r="H84" i="7" s="1"/>
  <c r="J84" i="7" s="1"/>
  <c r="D484" i="19"/>
  <c r="D483" i="19"/>
  <c r="D482" i="19"/>
  <c r="D480" i="19"/>
  <c r="D479" i="19"/>
  <c r="C476" i="19"/>
  <c r="K57" i="7"/>
  <c r="F449" i="19" s="1"/>
  <c r="H57" i="7"/>
  <c r="D449" i="19" s="1"/>
  <c r="K56" i="7"/>
  <c r="F448" i="19" s="1"/>
  <c r="H56" i="7"/>
  <c r="D448" i="19" s="1"/>
  <c r="K55" i="7"/>
  <c r="F447" i="19" s="1"/>
  <c r="H55" i="7"/>
  <c r="D447" i="19" s="1"/>
  <c r="K54" i="7"/>
  <c r="F446" i="19" s="1"/>
  <c r="K53" i="7"/>
  <c r="F445" i="19" s="1"/>
  <c r="L48" i="7"/>
  <c r="G430" i="19" s="1"/>
  <c r="H48" i="7"/>
  <c r="D430" i="19" s="1"/>
  <c r="K47" i="7"/>
  <c r="F429" i="19" s="1"/>
  <c r="K46" i="7"/>
  <c r="F428" i="19" s="1"/>
  <c r="K45" i="7"/>
  <c r="F427" i="19" s="1"/>
  <c r="P383" i="19" s="1"/>
  <c r="K44" i="7"/>
  <c r="F426" i="19" s="1"/>
  <c r="K43" i="7"/>
  <c r="F425" i="19" s="1"/>
  <c r="K38" i="7"/>
  <c r="H38" i="7" s="1"/>
  <c r="K37" i="7"/>
  <c r="H37" i="7" s="1"/>
  <c r="K36" i="7"/>
  <c r="H36" i="7" s="1"/>
  <c r="K35" i="7"/>
  <c r="H35" i="7" s="1"/>
  <c r="K34" i="7"/>
  <c r="H34" i="7" s="1"/>
  <c r="K33" i="7"/>
  <c r="H33" i="7" s="1"/>
  <c r="K32" i="7"/>
  <c r="H32" i="7" s="1"/>
  <c r="K31" i="7"/>
  <c r="H31" i="7" s="1"/>
  <c r="K30" i="7"/>
  <c r="H30" i="7" s="1"/>
  <c r="F381" i="19"/>
  <c r="P381" i="19" s="1"/>
  <c r="F379" i="19"/>
  <c r="P379" i="19" s="1"/>
  <c r="F377" i="19"/>
  <c r="P377" i="19" s="1"/>
  <c r="F376" i="19"/>
  <c r="P376" i="19" s="1"/>
  <c r="F375" i="19"/>
  <c r="P375" i="19" s="1"/>
  <c r="AH15" i="7"/>
  <c r="AH14" i="7"/>
  <c r="AH13" i="7"/>
  <c r="AH12" i="7"/>
  <c r="AH11" i="7"/>
  <c r="AH10" i="7"/>
  <c r="AH9" i="7"/>
  <c r="AH8" i="7"/>
  <c r="AH7" i="7"/>
  <c r="AH6" i="7"/>
  <c r="AH5" i="7"/>
  <c r="AH4" i="7"/>
  <c r="E87" i="6"/>
  <c r="J33" i="6" s="1"/>
  <c r="E73" i="6"/>
  <c r="J32" i="6" s="1"/>
  <c r="J31" i="6"/>
  <c r="E40" i="6"/>
  <c r="F40" i="6" s="1"/>
  <c r="B12" i="5"/>
  <c r="B11" i="5"/>
  <c r="B10" i="5"/>
  <c r="B9" i="5"/>
  <c r="B37" i="26"/>
  <c r="B36" i="26"/>
  <c r="Y33" i="3"/>
  <c r="X33" i="3"/>
  <c r="W33" i="3"/>
  <c r="V33" i="3"/>
  <c r="U33" i="3"/>
  <c r="T33" i="3"/>
  <c r="S33" i="3"/>
  <c r="R33" i="3"/>
  <c r="Q33" i="3"/>
  <c r="P33" i="3"/>
  <c r="O33" i="3"/>
  <c r="N33" i="3"/>
  <c r="M33" i="3"/>
  <c r="L33" i="3"/>
  <c r="K33" i="3"/>
  <c r="J33" i="3"/>
  <c r="I33" i="3"/>
  <c r="H33" i="3"/>
  <c r="G33" i="3"/>
  <c r="F33" i="3"/>
  <c r="E33" i="3"/>
  <c r="D33" i="3"/>
  <c r="C33" i="3"/>
  <c r="B33" i="3"/>
  <c r="B35" i="26"/>
  <c r="Y32" i="3"/>
  <c r="X32" i="3"/>
  <c r="W32" i="3"/>
  <c r="V32" i="3"/>
  <c r="U32" i="3"/>
  <c r="T32" i="3"/>
  <c r="S32" i="3"/>
  <c r="R32" i="3"/>
  <c r="Q32" i="3"/>
  <c r="P32" i="3"/>
  <c r="O32" i="3"/>
  <c r="N32" i="3"/>
  <c r="M32" i="3"/>
  <c r="L32" i="3"/>
  <c r="K32" i="3"/>
  <c r="J32" i="3"/>
  <c r="I32" i="3"/>
  <c r="H32" i="3"/>
  <c r="G32" i="3"/>
  <c r="F32" i="3"/>
  <c r="E32" i="3"/>
  <c r="D32" i="3"/>
  <c r="C32" i="3"/>
  <c r="B32" i="3"/>
  <c r="B34" i="26"/>
  <c r="Y31" i="3"/>
  <c r="X31" i="3"/>
  <c r="W31" i="3"/>
  <c r="V31" i="3"/>
  <c r="U31" i="3"/>
  <c r="T31" i="3"/>
  <c r="S31" i="3"/>
  <c r="R31" i="3"/>
  <c r="Q31" i="3"/>
  <c r="P31" i="3"/>
  <c r="O31" i="3"/>
  <c r="N31" i="3"/>
  <c r="M31" i="3"/>
  <c r="L31" i="3"/>
  <c r="K31" i="3"/>
  <c r="J31" i="3"/>
  <c r="I31" i="3"/>
  <c r="H31" i="3"/>
  <c r="G31" i="3"/>
  <c r="F31" i="3"/>
  <c r="E31" i="3"/>
  <c r="D31" i="3"/>
  <c r="C31" i="3"/>
  <c r="B31" i="3"/>
  <c r="B33" i="26"/>
  <c r="Y30" i="3"/>
  <c r="X30" i="3"/>
  <c r="W30" i="3"/>
  <c r="V30" i="3"/>
  <c r="U30" i="3"/>
  <c r="T30" i="3"/>
  <c r="S30" i="3"/>
  <c r="R30" i="3"/>
  <c r="Q30" i="3"/>
  <c r="P30" i="3"/>
  <c r="O30" i="3"/>
  <c r="N30" i="3"/>
  <c r="M30" i="3"/>
  <c r="L30" i="3"/>
  <c r="K30" i="3"/>
  <c r="J30" i="3"/>
  <c r="I30" i="3"/>
  <c r="H30" i="3"/>
  <c r="G30" i="3"/>
  <c r="F30" i="3"/>
  <c r="E30" i="3"/>
  <c r="D30" i="3"/>
  <c r="C30" i="3"/>
  <c r="B30" i="3"/>
  <c r="B32" i="26"/>
  <c r="B31" i="26"/>
  <c r="Y27" i="3"/>
  <c r="X27" i="3"/>
  <c r="U27" i="3"/>
  <c r="T27" i="3"/>
  <c r="Q27" i="3"/>
  <c r="P27" i="3"/>
  <c r="O27" i="3"/>
  <c r="M27" i="3"/>
  <c r="L27" i="3"/>
  <c r="K27" i="3"/>
  <c r="I27" i="3"/>
  <c r="H27" i="3"/>
  <c r="E27" i="3"/>
  <c r="D27" i="3"/>
  <c r="C27" i="3"/>
  <c r="Y24" i="3"/>
  <c r="X24" i="3"/>
  <c r="W24" i="3"/>
  <c r="V24" i="3"/>
  <c r="U24" i="3"/>
  <c r="T24" i="3"/>
  <c r="S24" i="3"/>
  <c r="R24" i="3"/>
  <c r="Q24" i="3"/>
  <c r="P24" i="3"/>
  <c r="O24" i="3"/>
  <c r="N24" i="3"/>
  <c r="M24" i="3"/>
  <c r="L24" i="3"/>
  <c r="K24" i="3"/>
  <c r="J24" i="3"/>
  <c r="I24" i="3"/>
  <c r="H24" i="3"/>
  <c r="G24" i="3"/>
  <c r="F24" i="3"/>
  <c r="E24" i="3"/>
  <c r="D24" i="3"/>
  <c r="C24" i="3"/>
  <c r="B24" i="3"/>
  <c r="Y23" i="3"/>
  <c r="X23" i="3"/>
  <c r="W23" i="3"/>
  <c r="U23" i="3"/>
  <c r="T23" i="3"/>
  <c r="S23" i="3"/>
  <c r="Q23" i="3"/>
  <c r="P23" i="3"/>
  <c r="O23" i="3"/>
  <c r="M23" i="3"/>
  <c r="L23" i="3"/>
  <c r="K23" i="3"/>
  <c r="I23" i="3"/>
  <c r="H23" i="3"/>
  <c r="G23" i="3"/>
  <c r="E23" i="3"/>
  <c r="D23" i="3"/>
  <c r="C23" i="3"/>
  <c r="L20" i="3"/>
  <c r="B20" i="3"/>
  <c r="G10" i="3"/>
  <c r="F10" i="3"/>
  <c r="E10" i="3"/>
  <c r="D10" i="3"/>
  <c r="C10" i="3"/>
  <c r="B10" i="3"/>
  <c r="C9" i="3"/>
  <c r="B9" i="3"/>
  <c r="B8" i="3"/>
  <c r="B43" i="2"/>
  <c r="B42" i="2"/>
  <c r="B41" i="2"/>
  <c r="B40" i="2"/>
  <c r="H37" i="2"/>
  <c r="B351" i="19" s="1"/>
  <c r="E37" i="2"/>
  <c r="C37" i="2"/>
  <c r="B37" i="2"/>
  <c r="H36" i="2"/>
  <c r="B350" i="19" s="1"/>
  <c r="E36" i="2"/>
  <c r="C36" i="2"/>
  <c r="H35" i="2"/>
  <c r="B349" i="19" s="1"/>
  <c r="E35" i="2"/>
  <c r="C35" i="2"/>
  <c r="B35" i="2"/>
  <c r="H34" i="2"/>
  <c r="B348" i="19" s="1"/>
  <c r="E34" i="2"/>
  <c r="C34" i="2"/>
  <c r="I33" i="2"/>
  <c r="C347" i="19" s="1"/>
  <c r="H33" i="2"/>
  <c r="B347" i="19" s="1"/>
  <c r="E33" i="2"/>
  <c r="C33" i="2"/>
  <c r="H32" i="2"/>
  <c r="B346" i="19" s="1"/>
  <c r="E32" i="2"/>
  <c r="C32" i="2"/>
  <c r="E31" i="2"/>
  <c r="C31" i="2"/>
  <c r="B31" i="2"/>
  <c r="J30" i="2"/>
  <c r="D344" i="19" s="1"/>
  <c r="E30" i="2"/>
  <c r="C30" i="2"/>
  <c r="B30" i="2"/>
  <c r="E29" i="2"/>
  <c r="C29" i="2"/>
  <c r="B29" i="2"/>
  <c r="E28" i="2"/>
  <c r="C28" i="2"/>
  <c r="E27" i="2"/>
  <c r="C27" i="2"/>
  <c r="B27" i="2"/>
  <c r="E26" i="2"/>
  <c r="C26" i="2"/>
  <c r="B26" i="2"/>
  <c r="E25" i="2"/>
  <c r="C25" i="2"/>
  <c r="B25" i="2"/>
  <c r="E24" i="2"/>
  <c r="C24" i="2"/>
  <c r="F23" i="2"/>
  <c r="E23" i="2"/>
  <c r="D23" i="2"/>
  <c r="C23" i="2"/>
  <c r="E19" i="2"/>
  <c r="C19" i="2"/>
  <c r="E18" i="2"/>
  <c r="C18" i="2"/>
  <c r="E17" i="2"/>
  <c r="C17" i="2"/>
  <c r="H16" i="2"/>
  <c r="E16" i="2"/>
  <c r="C16" i="2"/>
  <c r="B16" i="2"/>
  <c r="H15" i="2"/>
  <c r="E15" i="2"/>
  <c r="C15" i="2"/>
  <c r="B15" i="2"/>
  <c r="H14" i="2"/>
  <c r="E14" i="2"/>
  <c r="C14" i="2"/>
  <c r="B14" i="2"/>
  <c r="B334" i="19"/>
  <c r="H13" i="2"/>
  <c r="E13" i="2"/>
  <c r="C13" i="2"/>
  <c r="B13" i="2"/>
  <c r="N12" i="2"/>
  <c r="B333" i="19" s="1"/>
  <c r="H12" i="2"/>
  <c r="E12" i="2"/>
  <c r="C12" i="2"/>
  <c r="B12" i="2"/>
  <c r="O11" i="2"/>
  <c r="C332" i="19" s="1"/>
  <c r="N11" i="2"/>
  <c r="B332" i="19" s="1"/>
  <c r="L11" i="2"/>
  <c r="G528" i="19" s="1"/>
  <c r="K11" i="2"/>
  <c r="F528" i="19" s="1"/>
  <c r="J11" i="2"/>
  <c r="E528" i="19" s="1"/>
  <c r="I11" i="2"/>
  <c r="D528" i="19" s="1"/>
  <c r="H11" i="2"/>
  <c r="E11" i="2"/>
  <c r="C11" i="2"/>
  <c r="O10" i="2"/>
  <c r="C331" i="19" s="1"/>
  <c r="N10" i="2"/>
  <c r="B331" i="19" s="1"/>
  <c r="E10" i="2"/>
  <c r="C10" i="2"/>
  <c r="E9" i="2"/>
  <c r="C9" i="2"/>
  <c r="O8" i="2"/>
  <c r="C329" i="19" s="1"/>
  <c r="C8" i="2"/>
  <c r="O7" i="2"/>
  <c r="C328" i="19" s="1"/>
  <c r="E7" i="2"/>
  <c r="C7" i="2"/>
  <c r="B327" i="19"/>
  <c r="E6" i="2"/>
  <c r="C6" i="2"/>
  <c r="F5" i="2"/>
  <c r="E5" i="2"/>
  <c r="D5" i="2"/>
  <c r="C5" i="2"/>
  <c r="C14" i="8" l="1"/>
  <c r="G42" i="8" s="1"/>
  <c r="C17" i="8"/>
  <c r="C33" i="8" s="1"/>
  <c r="C34" i="8" s="1"/>
  <c r="C36" i="8" s="1"/>
  <c r="C24" i="10"/>
  <c r="C22" i="10"/>
  <c r="C26" i="10"/>
  <c r="F72" i="7"/>
  <c r="G72" i="7" s="1"/>
  <c r="O37" i="9"/>
  <c r="R37" i="9" s="1"/>
  <c r="S37" i="9" s="1"/>
  <c r="J37" i="9"/>
  <c r="O38" i="9"/>
  <c r="P38" i="9" s="1"/>
  <c r="J38" i="9"/>
  <c r="M58" i="9"/>
  <c r="I34" i="2"/>
  <c r="C348" i="19" s="1"/>
  <c r="J30" i="6"/>
  <c r="J29" i="6"/>
  <c r="E5" i="6"/>
  <c r="F5" i="6" s="1"/>
  <c r="D11" i="5"/>
  <c r="D9" i="5"/>
  <c r="D10" i="5"/>
  <c r="D12" i="5"/>
  <c r="C28" i="8"/>
  <c r="C44" i="8"/>
  <c r="N58" i="9"/>
  <c r="Q58" i="9" s="1"/>
  <c r="R58" i="9" s="1"/>
  <c r="R23" i="9"/>
  <c r="S23" i="9" s="1"/>
  <c r="D11" i="25"/>
  <c r="D11" i="11"/>
  <c r="D33" i="25"/>
  <c r="C33" i="25"/>
  <c r="F42" i="25"/>
  <c r="G42" i="25"/>
  <c r="C20" i="12"/>
  <c r="C16" i="23"/>
  <c r="E5" i="15"/>
  <c r="D13" i="14"/>
  <c r="F29" i="26" s="1"/>
  <c r="R41" i="9"/>
  <c r="S41" i="9" s="1"/>
  <c r="R26" i="9"/>
  <c r="S26" i="9" s="1"/>
  <c r="V25" i="23"/>
  <c r="H44" i="7"/>
  <c r="D426" i="19" s="1"/>
  <c r="K94" i="7"/>
  <c r="L94" i="7" s="1"/>
  <c r="AJ14" i="7" s="1"/>
  <c r="D119" i="19"/>
  <c r="D39" i="9"/>
  <c r="F39" i="9" s="1"/>
  <c r="H94" i="9"/>
  <c r="N94" i="9" s="1"/>
  <c r="D116" i="19"/>
  <c r="D36" i="9"/>
  <c r="F36" i="9" s="1"/>
  <c r="K90" i="7"/>
  <c r="L90" i="7" s="1"/>
  <c r="AJ10" i="7" s="1"/>
  <c r="J110" i="7"/>
  <c r="J112" i="7"/>
  <c r="K112" i="7" s="1"/>
  <c r="L112" i="7" s="1"/>
  <c r="AK15" i="7" s="1"/>
  <c r="D47" i="19"/>
  <c r="D21" i="9"/>
  <c r="E47" i="19" s="1"/>
  <c r="E5" i="16"/>
  <c r="F38" i="9"/>
  <c r="J108" i="7"/>
  <c r="K108" i="7" s="1"/>
  <c r="L108" i="7" s="1"/>
  <c r="AK11" i="7" s="1"/>
  <c r="D45" i="19"/>
  <c r="D19" i="9"/>
  <c r="E45" i="19" s="1"/>
  <c r="D115" i="19"/>
  <c r="D35" i="9"/>
  <c r="E115" i="19" s="1"/>
  <c r="D117" i="19"/>
  <c r="D37" i="9"/>
  <c r="F37" i="9" s="1"/>
  <c r="H39" i="9"/>
  <c r="J39" i="9" s="1"/>
  <c r="N38" i="9"/>
  <c r="H36" i="9"/>
  <c r="J36" i="9" s="1"/>
  <c r="H35" i="9"/>
  <c r="L44" i="7"/>
  <c r="G426" i="19" s="1"/>
  <c r="M48" i="7"/>
  <c r="O48" i="7" s="1"/>
  <c r="H54" i="7"/>
  <c r="D446" i="19" s="1"/>
  <c r="J101" i="7"/>
  <c r="K101" i="7" s="1"/>
  <c r="L101" i="7" s="1"/>
  <c r="AK4" i="7" s="1"/>
  <c r="J103" i="7"/>
  <c r="K103" i="7" s="1"/>
  <c r="L103" i="7" s="1"/>
  <c r="AK6" i="7" s="1"/>
  <c r="G376" i="19"/>
  <c r="G379" i="19"/>
  <c r="H46" i="7"/>
  <c r="D428" i="19" s="1"/>
  <c r="L53" i="7"/>
  <c r="G445" i="19" s="1"/>
  <c r="L57" i="7"/>
  <c r="G449" i="19" s="1"/>
  <c r="K84" i="7"/>
  <c r="L84" i="7" s="1"/>
  <c r="AJ4" i="7" s="1"/>
  <c r="K86" i="7"/>
  <c r="L86" i="7" s="1"/>
  <c r="AJ6" i="7" s="1"/>
  <c r="H45" i="7"/>
  <c r="D427" i="19" s="1"/>
  <c r="H53" i="7"/>
  <c r="D445" i="19" s="1"/>
  <c r="K88" i="7"/>
  <c r="L88" i="7" s="1"/>
  <c r="AJ8" i="7" s="1"/>
  <c r="J105" i="7"/>
  <c r="K105" i="7" s="1"/>
  <c r="L105" i="7" s="1"/>
  <c r="AK8" i="7" s="1"/>
  <c r="J107" i="7"/>
  <c r="K107" i="7" s="1"/>
  <c r="L107" i="7" s="1"/>
  <c r="AK10" i="7" s="1"/>
  <c r="E388" i="19"/>
  <c r="L43" i="7"/>
  <c r="G425" i="19" s="1"/>
  <c r="G375" i="19"/>
  <c r="L46" i="7"/>
  <c r="G428" i="19" s="1"/>
  <c r="L55" i="7"/>
  <c r="M55" i="7" s="1"/>
  <c r="H43" i="7"/>
  <c r="D425" i="19" s="1"/>
  <c r="L45" i="7"/>
  <c r="M45" i="7" s="1"/>
  <c r="H47" i="7"/>
  <c r="D429" i="19" s="1"/>
  <c r="L54" i="7"/>
  <c r="M54" i="7" s="1"/>
  <c r="L47" i="7"/>
  <c r="M47" i="7" s="1"/>
  <c r="L56" i="7"/>
  <c r="G448" i="19" s="1"/>
  <c r="K58" i="7"/>
  <c r="F450" i="19" s="1"/>
  <c r="R25" i="9"/>
  <c r="S25" i="9" s="1"/>
  <c r="R30" i="9"/>
  <c r="S30" i="9" s="1"/>
  <c r="M73" i="9"/>
  <c r="N73" i="9"/>
  <c r="O73" i="9" s="1"/>
  <c r="P47" i="9"/>
  <c r="R47" i="9"/>
  <c r="S47" i="9" s="1"/>
  <c r="M74" i="9"/>
  <c r="N74" i="9"/>
  <c r="O74" i="9" s="1"/>
  <c r="P48" i="9"/>
  <c r="R48" i="9"/>
  <c r="S48" i="9" s="1"/>
  <c r="P40" i="9"/>
  <c r="R40" i="9"/>
  <c r="S40" i="9" s="1"/>
  <c r="P44" i="9"/>
  <c r="R44" i="9"/>
  <c r="S44" i="9" s="1"/>
  <c r="R27" i="9"/>
  <c r="S27" i="9" s="1"/>
  <c r="P45" i="9"/>
  <c r="R45" i="9"/>
  <c r="S45" i="9" s="1"/>
  <c r="P43" i="9"/>
  <c r="R43" i="9"/>
  <c r="S43" i="9" s="1"/>
  <c r="I37" i="2"/>
  <c r="C351" i="19" s="1"/>
  <c r="J37" i="2"/>
  <c r="D351" i="19" s="1"/>
  <c r="J33" i="2"/>
  <c r="D347" i="19" s="1"/>
  <c r="I36" i="2"/>
  <c r="C350" i="19" s="1"/>
  <c r="C12" i="3"/>
  <c r="J32" i="2"/>
  <c r="D346" i="19" s="1"/>
  <c r="I32" i="2"/>
  <c r="C346" i="19" s="1"/>
  <c r="J35" i="2"/>
  <c r="D349" i="19" s="1"/>
  <c r="J36" i="2"/>
  <c r="D350" i="19" s="1"/>
  <c r="I35" i="2"/>
  <c r="C349" i="19" s="1"/>
  <c r="D30" i="13"/>
  <c r="C25" i="3" s="1"/>
  <c r="H75" i="9"/>
  <c r="N75" i="9" s="1"/>
  <c r="O75" i="9" s="1"/>
  <c r="C241" i="19"/>
  <c r="H66" i="8"/>
  <c r="H65" i="8"/>
  <c r="D229" i="19"/>
  <c r="H51" i="8"/>
  <c r="D159" i="19" s="1"/>
  <c r="H47" i="8"/>
  <c r="H50" i="8"/>
  <c r="H49" i="8"/>
  <c r="H48" i="8"/>
  <c r="J160" i="19"/>
  <c r="J166" i="19"/>
  <c r="J167" i="19"/>
  <c r="E67" i="9"/>
  <c r="F203" i="19" s="1"/>
  <c r="K91" i="19"/>
  <c r="K88" i="19"/>
  <c r="F124" i="19"/>
  <c r="K90" i="19"/>
  <c r="K92" i="19"/>
  <c r="F128" i="19"/>
  <c r="F126" i="19"/>
  <c r="K17" i="19"/>
  <c r="K19" i="19"/>
  <c r="K16" i="19"/>
  <c r="K18" i="19"/>
  <c r="K12" i="19"/>
  <c r="E123" i="19"/>
  <c r="E125" i="19"/>
  <c r="E127" i="19"/>
  <c r="E43" i="19"/>
  <c r="D11" i="10"/>
  <c r="E11" i="10" s="1"/>
  <c r="F11" i="10" s="1"/>
  <c r="C15" i="18"/>
  <c r="C27" i="14"/>
  <c r="C16" i="13"/>
  <c r="C19" i="16"/>
  <c r="C17" i="17"/>
  <c r="C37" i="14"/>
  <c r="C24" i="15"/>
  <c r="N8" i="3"/>
  <c r="P11" i="11" s="1"/>
  <c r="J34" i="2"/>
  <c r="D348" i="19" s="1"/>
  <c r="G8" i="7"/>
  <c r="F380" i="19"/>
  <c r="P380" i="19" s="1"/>
  <c r="C8" i="3"/>
  <c r="B12" i="3"/>
  <c r="F382" i="19"/>
  <c r="P382" i="19" s="1"/>
  <c r="F383" i="19"/>
  <c r="C388" i="19"/>
  <c r="F265" i="19"/>
  <c r="G265" i="19"/>
  <c r="G7" i="19"/>
  <c r="I8" i="19"/>
  <c r="K8" i="19"/>
  <c r="I9" i="19"/>
  <c r="E19" i="9"/>
  <c r="H19" i="9" s="1"/>
  <c r="J19" i="9" s="1"/>
  <c r="K9" i="19"/>
  <c r="G21" i="19"/>
  <c r="H161" i="19"/>
  <c r="E61" i="9"/>
  <c r="G197" i="19" s="1"/>
  <c r="H164" i="19"/>
  <c r="E64" i="9"/>
  <c r="G200" i="19" s="1"/>
  <c r="H168" i="19"/>
  <c r="E68" i="9"/>
  <c r="G204" i="19" s="1"/>
  <c r="H230" i="19"/>
  <c r="H231" i="19"/>
  <c r="H232" i="19"/>
  <c r="H233" i="19"/>
  <c r="H234" i="19"/>
  <c r="H239" i="19"/>
  <c r="J240" i="19"/>
  <c r="E18" i="9"/>
  <c r="H18" i="9" s="1"/>
  <c r="J18" i="9" s="1"/>
  <c r="E48" i="19"/>
  <c r="E52" i="19"/>
  <c r="E56" i="19"/>
  <c r="E193" i="19"/>
  <c r="E197" i="19"/>
  <c r="E263" i="19"/>
  <c r="B284" i="19"/>
  <c r="B248" i="19"/>
  <c r="B266" i="19"/>
  <c r="F271" i="19"/>
  <c r="G271" i="19"/>
  <c r="B292" i="19"/>
  <c r="B256" i="19"/>
  <c r="B274" i="19"/>
  <c r="M44" i="7"/>
  <c r="N48" i="7"/>
  <c r="E440" i="19" s="1"/>
  <c r="J106" i="7"/>
  <c r="H159" i="19"/>
  <c r="E59" i="9"/>
  <c r="G195" i="19" s="1"/>
  <c r="H162" i="19"/>
  <c r="E62" i="9"/>
  <c r="G198" i="19" s="1"/>
  <c r="J163" i="19"/>
  <c r="H165" i="19"/>
  <c r="E65" i="9"/>
  <c r="G201" i="19" s="1"/>
  <c r="H235" i="19"/>
  <c r="H236" i="19"/>
  <c r="H237" i="19"/>
  <c r="J238" i="19"/>
  <c r="B43" i="19"/>
  <c r="B61" i="19"/>
  <c r="B25" i="19"/>
  <c r="B63" i="19"/>
  <c r="B27" i="19"/>
  <c r="B45" i="19"/>
  <c r="E49" i="19"/>
  <c r="E53" i="19"/>
  <c r="E121" i="19"/>
  <c r="B141" i="19"/>
  <c r="B123" i="19"/>
  <c r="B105" i="19"/>
  <c r="D126" i="19"/>
  <c r="B145" i="19"/>
  <c r="B127" i="19"/>
  <c r="B109" i="19"/>
  <c r="E194" i="19"/>
  <c r="E198" i="19"/>
  <c r="E204" i="19"/>
  <c r="B286" i="19"/>
  <c r="B250" i="19"/>
  <c r="B268" i="19"/>
  <c r="F378" i="19"/>
  <c r="P378" i="19" s="1"/>
  <c r="D440" i="19"/>
  <c r="P48" i="7"/>
  <c r="K87" i="7"/>
  <c r="L87" i="7" s="1"/>
  <c r="AJ7" i="7" s="1"/>
  <c r="H91" i="7"/>
  <c r="J91" i="7" s="1"/>
  <c r="J104" i="7"/>
  <c r="J111" i="7"/>
  <c r="I20" i="19"/>
  <c r="K20" i="19"/>
  <c r="G79" i="19"/>
  <c r="G80" i="19"/>
  <c r="G81" i="19"/>
  <c r="G82" i="19"/>
  <c r="I83" i="19"/>
  <c r="K83" i="19"/>
  <c r="I84" i="19"/>
  <c r="K84" i="19"/>
  <c r="I85" i="19"/>
  <c r="K85" i="19"/>
  <c r="G121" i="19"/>
  <c r="I86" i="19"/>
  <c r="K86" i="19"/>
  <c r="I87" i="19"/>
  <c r="K87" i="19"/>
  <c r="I89" i="19"/>
  <c r="K89" i="19"/>
  <c r="H157" i="19"/>
  <c r="E57" i="9"/>
  <c r="J158" i="19"/>
  <c r="C169" i="19"/>
  <c r="D238" i="19"/>
  <c r="D166" i="19"/>
  <c r="D163" i="19"/>
  <c r="D160" i="19"/>
  <c r="D240" i="19"/>
  <c r="D167" i="19"/>
  <c r="D230" i="19"/>
  <c r="D231" i="19"/>
  <c r="D232" i="19"/>
  <c r="D233" i="19"/>
  <c r="D234" i="19"/>
  <c r="D239" i="19"/>
  <c r="F310" i="19"/>
  <c r="I93" i="9"/>
  <c r="P93" i="9" s="1"/>
  <c r="F312" i="19"/>
  <c r="H312" i="19"/>
  <c r="I95" i="9"/>
  <c r="P95" i="9" s="1"/>
  <c r="F314" i="19"/>
  <c r="I97" i="9"/>
  <c r="P97" i="9" s="1"/>
  <c r="H314" i="19"/>
  <c r="F316" i="19"/>
  <c r="H316" i="19"/>
  <c r="I99" i="9"/>
  <c r="P99" i="9" s="1"/>
  <c r="F318" i="19"/>
  <c r="I101" i="9"/>
  <c r="P101" i="9" s="1"/>
  <c r="H318" i="19"/>
  <c r="F320" i="19"/>
  <c r="H320" i="19"/>
  <c r="I103" i="9"/>
  <c r="P103" i="9" s="1"/>
  <c r="F322" i="19"/>
  <c r="I105" i="9"/>
  <c r="P105" i="9" s="1"/>
  <c r="H322" i="19"/>
  <c r="E50" i="19"/>
  <c r="E54" i="19"/>
  <c r="B137" i="19"/>
  <c r="B119" i="19"/>
  <c r="B101" i="19"/>
  <c r="D122" i="19"/>
  <c r="E191" i="19"/>
  <c r="E195" i="19"/>
  <c r="E199" i="19"/>
  <c r="B219" i="19"/>
  <c r="B201" i="19"/>
  <c r="B183" i="19"/>
  <c r="B288" i="19"/>
  <c r="B252" i="19"/>
  <c r="B270" i="19"/>
  <c r="E52" i="11"/>
  <c r="F5" i="13"/>
  <c r="F399" i="19"/>
  <c r="K39" i="7"/>
  <c r="F408" i="19" s="1"/>
  <c r="D399" i="19"/>
  <c r="L30" i="7"/>
  <c r="F400" i="19"/>
  <c r="D400" i="19"/>
  <c r="L31" i="7"/>
  <c r="F401" i="19"/>
  <c r="D401" i="19"/>
  <c r="L32" i="7"/>
  <c r="F402" i="19"/>
  <c r="D402" i="19"/>
  <c r="L33" i="7"/>
  <c r="F403" i="19"/>
  <c r="D403" i="19"/>
  <c r="L34" i="7"/>
  <c r="F404" i="19"/>
  <c r="D404" i="19"/>
  <c r="L35" i="7"/>
  <c r="F405" i="19"/>
  <c r="D405" i="19"/>
  <c r="L36" i="7"/>
  <c r="F406" i="19"/>
  <c r="D406" i="19"/>
  <c r="L37" i="7"/>
  <c r="F407" i="19"/>
  <c r="D407" i="19"/>
  <c r="L38" i="7"/>
  <c r="H89" i="7"/>
  <c r="J89" i="7" s="1"/>
  <c r="J102" i="7"/>
  <c r="K110" i="7"/>
  <c r="L110" i="7" s="1"/>
  <c r="AK13" i="7" s="1"/>
  <c r="G10" i="19"/>
  <c r="I11" i="19"/>
  <c r="E21" i="9"/>
  <c r="H21" i="9" s="1"/>
  <c r="J21" i="9" s="1"/>
  <c r="K11" i="19"/>
  <c r="I13" i="19"/>
  <c r="K13" i="19"/>
  <c r="E23" i="9"/>
  <c r="H155" i="19"/>
  <c r="E55" i="9"/>
  <c r="J156" i="19"/>
  <c r="H227" i="19"/>
  <c r="H228" i="19"/>
  <c r="H229" i="19"/>
  <c r="L79" i="8"/>
  <c r="H241" i="19" s="1"/>
  <c r="E311" i="19"/>
  <c r="E313" i="19"/>
  <c r="E315" i="19"/>
  <c r="E317" i="19"/>
  <c r="E319" i="19"/>
  <c r="E321" i="19"/>
  <c r="E323" i="19"/>
  <c r="D44" i="19"/>
  <c r="D46" i="19"/>
  <c r="E51" i="19"/>
  <c r="E55" i="19"/>
  <c r="B133" i="19"/>
  <c r="B115" i="19"/>
  <c r="B97" i="19"/>
  <c r="D118" i="19"/>
  <c r="E192" i="19"/>
  <c r="E196" i="19"/>
  <c r="E200" i="19"/>
  <c r="B282" i="19"/>
  <c r="B246" i="19"/>
  <c r="B264" i="19"/>
  <c r="B290" i="19"/>
  <c r="B254" i="19"/>
  <c r="B272" i="19"/>
  <c r="K49" i="7"/>
  <c r="F431" i="19" s="1"/>
  <c r="B64" i="19"/>
  <c r="B46" i="19"/>
  <c r="B28" i="19"/>
  <c r="E22" i="9"/>
  <c r="H22" i="9" s="1"/>
  <c r="J22" i="9" s="1"/>
  <c r="E24" i="9"/>
  <c r="E25" i="9"/>
  <c r="E26" i="9"/>
  <c r="E27" i="9"/>
  <c r="E28" i="9"/>
  <c r="E29" i="9"/>
  <c r="E30" i="9"/>
  <c r="B116" i="19"/>
  <c r="B134" i="19"/>
  <c r="B98" i="19"/>
  <c r="B120" i="19"/>
  <c r="B138" i="19"/>
  <c r="B102" i="19"/>
  <c r="B124" i="19"/>
  <c r="B142" i="19"/>
  <c r="B106" i="19"/>
  <c r="B128" i="19"/>
  <c r="B146" i="19"/>
  <c r="B110" i="19"/>
  <c r="E56" i="9"/>
  <c r="E60" i="9"/>
  <c r="G196" i="19" s="1"/>
  <c r="E63" i="9"/>
  <c r="E201" i="19"/>
  <c r="B220" i="19"/>
  <c r="B202" i="19"/>
  <c r="B184" i="19"/>
  <c r="D264" i="19"/>
  <c r="B65" i="19"/>
  <c r="B47" i="19"/>
  <c r="B29" i="19"/>
  <c r="B117" i="19"/>
  <c r="B135" i="19"/>
  <c r="B99" i="19"/>
  <c r="B121" i="19"/>
  <c r="B139" i="19"/>
  <c r="B103" i="19"/>
  <c r="B125" i="19"/>
  <c r="B143" i="19"/>
  <c r="B107" i="19"/>
  <c r="E202" i="19"/>
  <c r="B203" i="19"/>
  <c r="B221" i="19"/>
  <c r="B185" i="19"/>
  <c r="B283" i="19"/>
  <c r="B265" i="19"/>
  <c r="B247" i="19"/>
  <c r="B285" i="19"/>
  <c r="B249" i="19"/>
  <c r="B267" i="19"/>
  <c r="B287" i="19"/>
  <c r="B251" i="19"/>
  <c r="B269" i="19"/>
  <c r="B289" i="19"/>
  <c r="B253" i="19"/>
  <c r="B271" i="19"/>
  <c r="B291" i="19"/>
  <c r="B255" i="19"/>
  <c r="B273" i="19"/>
  <c r="F274" i="19"/>
  <c r="B293" i="19"/>
  <c r="B257" i="19"/>
  <c r="B275" i="19"/>
  <c r="H240" i="19"/>
  <c r="B44" i="19"/>
  <c r="B26" i="19"/>
  <c r="B62" i="19"/>
  <c r="B48" i="19"/>
  <c r="B30" i="19"/>
  <c r="B66" i="19"/>
  <c r="B31" i="19"/>
  <c r="B49" i="19"/>
  <c r="B67" i="19"/>
  <c r="B68" i="19"/>
  <c r="B50" i="19"/>
  <c r="B32" i="19"/>
  <c r="B69" i="19"/>
  <c r="B51" i="19"/>
  <c r="B33" i="19"/>
  <c r="B52" i="19"/>
  <c r="B34" i="19"/>
  <c r="B70" i="19"/>
  <c r="B35" i="19"/>
  <c r="B53" i="19"/>
  <c r="B71" i="19"/>
  <c r="B72" i="19"/>
  <c r="B54" i="19"/>
  <c r="B36" i="19"/>
  <c r="B73" i="19"/>
  <c r="B55" i="19"/>
  <c r="B37" i="19"/>
  <c r="B56" i="19"/>
  <c r="B38" i="19"/>
  <c r="B74" i="19"/>
  <c r="B136" i="19"/>
  <c r="B118" i="19"/>
  <c r="B100" i="19"/>
  <c r="B140" i="19"/>
  <c r="B122" i="19"/>
  <c r="B104" i="19"/>
  <c r="B144" i="19"/>
  <c r="B126" i="19"/>
  <c r="B108" i="19"/>
  <c r="B209" i="19"/>
  <c r="B191" i="19"/>
  <c r="B173" i="19"/>
  <c r="B192" i="19"/>
  <c r="B210" i="19"/>
  <c r="B174" i="19"/>
  <c r="B211" i="19"/>
  <c r="B193" i="19"/>
  <c r="B175" i="19"/>
  <c r="B212" i="19"/>
  <c r="B194" i="19"/>
  <c r="B176" i="19"/>
  <c r="B195" i="19"/>
  <c r="B213" i="19"/>
  <c r="B177" i="19"/>
  <c r="B196" i="19"/>
  <c r="B214" i="19"/>
  <c r="B178" i="19"/>
  <c r="B215" i="19"/>
  <c r="B197" i="19"/>
  <c r="B179" i="19"/>
  <c r="B216" i="19"/>
  <c r="B198" i="19"/>
  <c r="B180" i="19"/>
  <c r="B199" i="19"/>
  <c r="B217" i="19"/>
  <c r="B181" i="19"/>
  <c r="B200" i="19"/>
  <c r="B218" i="19"/>
  <c r="B182" i="19"/>
  <c r="E66" i="9"/>
  <c r="E203" i="19"/>
  <c r="G203" i="19"/>
  <c r="B204" i="19"/>
  <c r="B222" i="19"/>
  <c r="B186" i="19"/>
  <c r="B245" i="19"/>
  <c r="B281" i="19"/>
  <c r="B263" i="19"/>
  <c r="G274" i="19"/>
  <c r="B294" i="19"/>
  <c r="B258" i="19"/>
  <c r="B276" i="19"/>
  <c r="C30" i="10"/>
  <c r="D20" i="10"/>
  <c r="Q28" i="13"/>
  <c r="R28" i="13" s="1"/>
  <c r="S28" i="13" s="1"/>
  <c r="T28" i="13" s="1"/>
  <c r="U28" i="13" s="1"/>
  <c r="V28" i="13" s="1"/>
  <c r="W28" i="13" s="1"/>
  <c r="X28" i="13" s="1"/>
  <c r="Y28" i="13" s="1"/>
  <c r="Z28" i="13" s="1"/>
  <c r="H20" i="3"/>
  <c r="E5" i="17"/>
  <c r="E14" i="17" s="1"/>
  <c r="E5" i="18"/>
  <c r="G31" i="26" s="1"/>
  <c r="E27" i="13"/>
  <c r="I29" i="13"/>
  <c r="J29" i="13" s="1"/>
  <c r="K29" i="13" s="1"/>
  <c r="L29" i="13" s="1"/>
  <c r="M29" i="13" s="1"/>
  <c r="N29" i="13" s="1"/>
  <c r="O29" i="13" s="1"/>
  <c r="P29" i="13" s="1"/>
  <c r="Y20" i="3"/>
  <c r="X20" i="3"/>
  <c r="D508" i="19"/>
  <c r="E13" i="14"/>
  <c r="G29" i="26" s="1"/>
  <c r="C13" i="14"/>
  <c r="E29" i="26" s="1"/>
  <c r="K463" i="19"/>
  <c r="G463" i="19"/>
  <c r="C463" i="19"/>
  <c r="M463" i="19"/>
  <c r="I463" i="19"/>
  <c r="E463" i="19"/>
  <c r="B463" i="19"/>
  <c r="J463" i="19"/>
  <c r="K469" i="19"/>
  <c r="G469" i="19"/>
  <c r="C469" i="19"/>
  <c r="M469" i="19"/>
  <c r="I469" i="19"/>
  <c r="E469" i="19"/>
  <c r="B469" i="19"/>
  <c r="J469" i="19"/>
  <c r="D463" i="19"/>
  <c r="L463" i="19"/>
  <c r="D469" i="19"/>
  <c r="L469" i="19"/>
  <c r="F463" i="19"/>
  <c r="N463" i="19"/>
  <c r="F469" i="19"/>
  <c r="N469" i="19"/>
  <c r="C39" i="8" l="1"/>
  <c r="C38" i="8"/>
  <c r="G10" i="7"/>
  <c r="G9" i="7"/>
  <c r="D25" i="25"/>
  <c r="D20" i="25"/>
  <c r="D15" i="25"/>
  <c r="D24" i="25"/>
  <c r="D19" i="25"/>
  <c r="D14" i="25"/>
  <c r="D23" i="25"/>
  <c r="D18" i="25"/>
  <c r="D22" i="25"/>
  <c r="D16" i="25"/>
  <c r="C440" i="19"/>
  <c r="P37" i="9"/>
  <c r="R38" i="9"/>
  <c r="S38" i="9" s="1"/>
  <c r="O35" i="9"/>
  <c r="P35" i="9" s="1"/>
  <c r="J35" i="9"/>
  <c r="C20" i="8"/>
  <c r="C22" i="8" s="1"/>
  <c r="C23" i="8" s="1"/>
  <c r="G429" i="19"/>
  <c r="M56" i="7"/>
  <c r="AL10" i="7"/>
  <c r="AL6" i="7"/>
  <c r="C45" i="8"/>
  <c r="C46" i="8" s="1"/>
  <c r="C47" i="8" s="1"/>
  <c r="C48" i="8" s="1"/>
  <c r="C50" i="8" s="1"/>
  <c r="C51" i="8" s="1"/>
  <c r="C66" i="8" s="1"/>
  <c r="C68" i="8" s="1"/>
  <c r="C69" i="8" s="1"/>
  <c r="C70" i="8" s="1"/>
  <c r="C71" i="8" s="1"/>
  <c r="C72" i="8" s="1"/>
  <c r="C73" i="8" s="1"/>
  <c r="C74" i="8" s="1"/>
  <c r="C75" i="8" s="1"/>
  <c r="C77" i="8" s="1"/>
  <c r="C78" i="8" s="1"/>
  <c r="G22" i="8"/>
  <c r="G23" i="8"/>
  <c r="G43" i="8"/>
  <c r="E6" i="6"/>
  <c r="E7" i="6" s="1"/>
  <c r="F7" i="6" s="1"/>
  <c r="O58" i="9"/>
  <c r="F35" i="9"/>
  <c r="E119" i="19"/>
  <c r="C42" i="25"/>
  <c r="C43" i="25"/>
  <c r="C34" i="25"/>
  <c r="C35" i="25" s="1"/>
  <c r="C44" i="25"/>
  <c r="N36" i="9"/>
  <c r="D34" i="25"/>
  <c r="D35" i="25" s="1"/>
  <c r="D42" i="25"/>
  <c r="D44" i="25"/>
  <c r="D43" i="25"/>
  <c r="G36" i="25"/>
  <c r="F36" i="25"/>
  <c r="E11" i="25"/>
  <c r="E18" i="25" s="1"/>
  <c r="E11" i="11"/>
  <c r="E117" i="19"/>
  <c r="O16" i="23"/>
  <c r="P11" i="25"/>
  <c r="D20" i="12"/>
  <c r="D16" i="23"/>
  <c r="F5" i="16"/>
  <c r="F16" i="16" s="1"/>
  <c r="E16" i="16"/>
  <c r="F5" i="15"/>
  <c r="C30" i="14"/>
  <c r="C34" i="14"/>
  <c r="C29" i="14"/>
  <c r="C33" i="14"/>
  <c r="C28" i="14"/>
  <c r="C31" i="14"/>
  <c r="AL8" i="7"/>
  <c r="AL4" i="7"/>
  <c r="N35" i="9"/>
  <c r="W25" i="23"/>
  <c r="N37" i="9"/>
  <c r="O39" i="9"/>
  <c r="O36" i="9"/>
  <c r="D486" i="19"/>
  <c r="C486" i="19"/>
  <c r="G427" i="19"/>
  <c r="M43" i="7"/>
  <c r="N43" i="7" s="1"/>
  <c r="G446" i="19"/>
  <c r="L58" i="7"/>
  <c r="G450" i="19" s="1"/>
  <c r="M53" i="7"/>
  <c r="O53" i="7" s="1"/>
  <c r="T376" i="19"/>
  <c r="G447" i="19"/>
  <c r="M57" i="7"/>
  <c r="C458" i="19" s="1"/>
  <c r="O18" i="7"/>
  <c r="D388" i="19" s="1"/>
  <c r="M46" i="7"/>
  <c r="C438" i="19" s="1"/>
  <c r="G383" i="19"/>
  <c r="G381" i="19"/>
  <c r="P384" i="19"/>
  <c r="V388" i="19" s="1"/>
  <c r="G377" i="19"/>
  <c r="L49" i="7"/>
  <c r="G431" i="19" s="1"/>
  <c r="O18" i="9"/>
  <c r="N18" i="9"/>
  <c r="O19" i="9"/>
  <c r="N19" i="9"/>
  <c r="L101" i="9"/>
  <c r="M101" i="9" s="1"/>
  <c r="L105" i="9"/>
  <c r="M105" i="9" s="1"/>
  <c r="L99" i="9"/>
  <c r="M99" i="9" s="1"/>
  <c r="L97" i="9"/>
  <c r="M97" i="9" s="1"/>
  <c r="L103" i="9"/>
  <c r="M103" i="9" s="1"/>
  <c r="L95" i="9"/>
  <c r="M95" i="9" s="1"/>
  <c r="J95" i="9"/>
  <c r="K514" i="19" s="1"/>
  <c r="F56" i="9"/>
  <c r="G192" i="19" s="1"/>
  <c r="H56" i="9"/>
  <c r="F55" i="9"/>
  <c r="H55" i="9"/>
  <c r="L93" i="9"/>
  <c r="M93" i="9" s="1"/>
  <c r="J93" i="9"/>
  <c r="F57" i="9"/>
  <c r="G193" i="19" s="1"/>
  <c r="H57" i="9"/>
  <c r="C32" i="14"/>
  <c r="I38" i="2"/>
  <c r="C352" i="19" s="1"/>
  <c r="F19" i="9"/>
  <c r="G45" i="19" s="1"/>
  <c r="F18" i="9"/>
  <c r="G44" i="19" s="1"/>
  <c r="G54" i="19"/>
  <c r="G56" i="19"/>
  <c r="G55" i="19"/>
  <c r="G53" i="19"/>
  <c r="F22" i="9"/>
  <c r="G48" i="19" s="1"/>
  <c r="F21" i="9"/>
  <c r="G47" i="19" s="1"/>
  <c r="I124" i="19"/>
  <c r="I513" i="19"/>
  <c r="C508" i="19"/>
  <c r="Q29" i="13"/>
  <c r="R29" i="13" s="1"/>
  <c r="S29" i="13" s="1"/>
  <c r="T29" i="13" s="1"/>
  <c r="U29" i="13" s="1"/>
  <c r="V29" i="13" s="1"/>
  <c r="W29" i="13" s="1"/>
  <c r="X29" i="13" s="1"/>
  <c r="Y29" i="13" s="1"/>
  <c r="Z29" i="13" s="1"/>
  <c r="F5" i="17"/>
  <c r="D30" i="10"/>
  <c r="E30" i="10" s="1"/>
  <c r="F30" i="10" s="1"/>
  <c r="G30" i="10" s="1"/>
  <c r="H30" i="10" s="1"/>
  <c r="I30" i="10" s="1"/>
  <c r="J30" i="10" s="1"/>
  <c r="K30" i="10" s="1"/>
  <c r="L30" i="10" s="1"/>
  <c r="M30" i="10" s="1"/>
  <c r="N30" i="10" s="1"/>
  <c r="C32" i="10"/>
  <c r="D32" i="10" s="1"/>
  <c r="E32" i="10" s="1"/>
  <c r="F32" i="10" s="1"/>
  <c r="G32" i="10" s="1"/>
  <c r="H32" i="10" s="1"/>
  <c r="I32" i="10" s="1"/>
  <c r="J32" i="10" s="1"/>
  <c r="K32" i="10" s="1"/>
  <c r="L32" i="10" s="1"/>
  <c r="M32" i="10" s="1"/>
  <c r="N32" i="10" s="1"/>
  <c r="E128" i="19"/>
  <c r="G128" i="19"/>
  <c r="F276" i="19"/>
  <c r="G276" i="19"/>
  <c r="F194" i="19"/>
  <c r="F55" i="19"/>
  <c r="F51" i="19"/>
  <c r="F120" i="19"/>
  <c r="G51" i="19"/>
  <c r="E46" i="19"/>
  <c r="F323" i="19"/>
  <c r="I106" i="9"/>
  <c r="P106" i="9" s="1"/>
  <c r="H323" i="19"/>
  <c r="F319" i="19"/>
  <c r="I102" i="9"/>
  <c r="P102" i="9" s="1"/>
  <c r="H319" i="19"/>
  <c r="F315" i="19"/>
  <c r="I98" i="9"/>
  <c r="P98" i="9" s="1"/>
  <c r="H315" i="19"/>
  <c r="F311" i="19"/>
  <c r="I94" i="9"/>
  <c r="H311" i="19"/>
  <c r="J227" i="19"/>
  <c r="N79" i="8"/>
  <c r="C456" i="19"/>
  <c r="O55" i="7"/>
  <c r="N55" i="7"/>
  <c r="E456" i="19" s="1"/>
  <c r="G407" i="19"/>
  <c r="M38" i="7"/>
  <c r="G403" i="19"/>
  <c r="M34" i="7"/>
  <c r="G399" i="19"/>
  <c r="L39" i="7"/>
  <c r="G408" i="19" s="1"/>
  <c r="M30" i="7"/>
  <c r="J96" i="8"/>
  <c r="J522" i="19"/>
  <c r="K522" i="19"/>
  <c r="J520" i="19"/>
  <c r="K520" i="19"/>
  <c r="J514" i="19"/>
  <c r="J512" i="19"/>
  <c r="J157" i="19"/>
  <c r="K93" i="7"/>
  <c r="L93" i="7" s="1"/>
  <c r="AJ13" i="7" s="1"/>
  <c r="AL13" i="7" s="1"/>
  <c r="C455" i="19"/>
  <c r="O54" i="7"/>
  <c r="N54" i="7"/>
  <c r="E455" i="19" s="1"/>
  <c r="C437" i="19"/>
  <c r="T383" i="19" s="1"/>
  <c r="O45" i="7"/>
  <c r="N45" i="7"/>
  <c r="E437" i="19" s="1"/>
  <c r="I203" i="19"/>
  <c r="F221" i="19"/>
  <c r="G194" i="19"/>
  <c r="J237" i="19"/>
  <c r="L163" i="19"/>
  <c r="O63" i="9"/>
  <c r="F195" i="19"/>
  <c r="K106" i="7"/>
  <c r="L106" i="7" s="1"/>
  <c r="AK9" i="7" s="1"/>
  <c r="I271" i="19"/>
  <c r="F289" i="19"/>
  <c r="L240" i="19"/>
  <c r="Q86" i="9"/>
  <c r="R86" i="9" s="1"/>
  <c r="F270" i="19"/>
  <c r="G270" i="19"/>
  <c r="J231" i="19"/>
  <c r="F200" i="19"/>
  <c r="J161" i="19"/>
  <c r="F45" i="19"/>
  <c r="I7" i="19"/>
  <c r="E17" i="9"/>
  <c r="M22" i="8"/>
  <c r="I21" i="19" s="1"/>
  <c r="D15" i="18"/>
  <c r="D19" i="16"/>
  <c r="D17" i="17"/>
  <c r="D24" i="15"/>
  <c r="D37" i="14"/>
  <c r="D27" i="14"/>
  <c r="D16" i="13"/>
  <c r="H8" i="7"/>
  <c r="D8" i="3"/>
  <c r="G380" i="19"/>
  <c r="J38" i="2"/>
  <c r="D352" i="19" s="1"/>
  <c r="I39" i="2"/>
  <c r="C353" i="19" s="1"/>
  <c r="F127" i="19"/>
  <c r="G127" i="19"/>
  <c r="E124" i="19"/>
  <c r="G124" i="19"/>
  <c r="E120" i="19"/>
  <c r="G120" i="19"/>
  <c r="E116" i="19"/>
  <c r="F192" i="19"/>
  <c r="I126" i="19"/>
  <c r="F54" i="19"/>
  <c r="F50" i="19"/>
  <c r="E118" i="19"/>
  <c r="F264" i="19"/>
  <c r="I264" i="19"/>
  <c r="F263" i="19"/>
  <c r="E87" i="9"/>
  <c r="F277" i="19" s="1"/>
  <c r="J155" i="19"/>
  <c r="N61" i="8"/>
  <c r="C28" i="5" s="1"/>
  <c r="D28" i="5" s="1"/>
  <c r="F49" i="19"/>
  <c r="F47" i="19"/>
  <c r="K102" i="7"/>
  <c r="L102" i="7" s="1"/>
  <c r="AK5" i="7" s="1"/>
  <c r="K89" i="7"/>
  <c r="L89" i="7" s="1"/>
  <c r="AJ9" i="7" s="1"/>
  <c r="G404" i="19"/>
  <c r="M35" i="7"/>
  <c r="G400" i="19"/>
  <c r="M31" i="7"/>
  <c r="I128" i="19"/>
  <c r="E122" i="19"/>
  <c r="G122" i="19"/>
  <c r="L158" i="19"/>
  <c r="F122" i="19"/>
  <c r="F119" i="19"/>
  <c r="G119" i="19"/>
  <c r="I81" i="19"/>
  <c r="K81" i="19"/>
  <c r="I79" i="19"/>
  <c r="I93" i="19"/>
  <c r="K111" i="7"/>
  <c r="L111" i="7" s="1"/>
  <c r="AK14" i="7" s="1"/>
  <c r="AL14" i="7" s="1"/>
  <c r="K91" i="7"/>
  <c r="L91" i="7" s="1"/>
  <c r="AJ11" i="7" s="1"/>
  <c r="AL11" i="7" s="1"/>
  <c r="E126" i="19"/>
  <c r="G126" i="19"/>
  <c r="J235" i="19"/>
  <c r="L167" i="19"/>
  <c r="O67" i="9"/>
  <c r="J165" i="19"/>
  <c r="L160" i="19"/>
  <c r="O60" i="9"/>
  <c r="K95" i="7"/>
  <c r="L95" i="7" s="1"/>
  <c r="AJ15" i="7" s="1"/>
  <c r="AL15" i="7" s="1"/>
  <c r="J234" i="19"/>
  <c r="F268" i="19"/>
  <c r="G268" i="19"/>
  <c r="J168" i="19"/>
  <c r="J164" i="19"/>
  <c r="C439" i="19"/>
  <c r="O47" i="7"/>
  <c r="N47" i="7"/>
  <c r="E439" i="19" s="1"/>
  <c r="I20" i="3"/>
  <c r="F199" i="19"/>
  <c r="F53" i="19"/>
  <c r="F48" i="19"/>
  <c r="F275" i="19"/>
  <c r="G275" i="19"/>
  <c r="F269" i="19"/>
  <c r="G269" i="19"/>
  <c r="E44" i="19"/>
  <c r="F321" i="19"/>
  <c r="I104" i="9"/>
  <c r="P104" i="9" s="1"/>
  <c r="H321" i="19"/>
  <c r="F317" i="19"/>
  <c r="I100" i="9"/>
  <c r="P100" i="9" s="1"/>
  <c r="H317" i="19"/>
  <c r="F313" i="19"/>
  <c r="I96" i="9"/>
  <c r="P96" i="9" s="1"/>
  <c r="H313" i="19"/>
  <c r="J228" i="19"/>
  <c r="F191" i="19"/>
  <c r="E69" i="9"/>
  <c r="F205" i="19" s="1"/>
  <c r="G405" i="19"/>
  <c r="M36" i="7"/>
  <c r="G401" i="19"/>
  <c r="M32" i="7"/>
  <c r="C21" i="3"/>
  <c r="G50" i="19"/>
  <c r="J524" i="19"/>
  <c r="K524" i="19"/>
  <c r="J518" i="19"/>
  <c r="K518" i="19"/>
  <c r="J516" i="19"/>
  <c r="K516" i="19"/>
  <c r="F123" i="19"/>
  <c r="G123" i="19"/>
  <c r="G93" i="19"/>
  <c r="F440" i="19"/>
  <c r="Q48" i="7"/>
  <c r="G440" i="19" s="1"/>
  <c r="G378" i="19"/>
  <c r="F273" i="19"/>
  <c r="G273" i="19"/>
  <c r="G49" i="19"/>
  <c r="L238" i="19"/>
  <c r="Q84" i="9"/>
  <c r="R84" i="9" s="1"/>
  <c r="F272" i="19"/>
  <c r="G272" i="19"/>
  <c r="F201" i="19"/>
  <c r="J162" i="19"/>
  <c r="K85" i="7"/>
  <c r="L85" i="7" s="1"/>
  <c r="AJ5" i="7" s="1"/>
  <c r="C436" i="19"/>
  <c r="O44" i="7"/>
  <c r="N44" i="7"/>
  <c r="E436" i="19" s="1"/>
  <c r="G11" i="10"/>
  <c r="J239" i="19"/>
  <c r="J232" i="19"/>
  <c r="F266" i="19"/>
  <c r="G266" i="19"/>
  <c r="F204" i="19"/>
  <c r="M20" i="3"/>
  <c r="F202" i="19"/>
  <c r="E30" i="13"/>
  <c r="D25" i="3" s="1"/>
  <c r="F27" i="13"/>
  <c r="D20" i="3"/>
  <c r="E508" i="19"/>
  <c r="F13" i="14"/>
  <c r="H29" i="26" s="1"/>
  <c r="F5" i="18"/>
  <c r="H31" i="26" s="1"/>
  <c r="E20" i="10"/>
  <c r="I274" i="19"/>
  <c r="F292" i="19"/>
  <c r="G202" i="19"/>
  <c r="E264" i="19"/>
  <c r="G264" i="19"/>
  <c r="F196" i="19"/>
  <c r="F56" i="19"/>
  <c r="F52" i="19"/>
  <c r="J229" i="19"/>
  <c r="L156" i="19"/>
  <c r="I10" i="19"/>
  <c r="E20" i="9"/>
  <c r="H20" i="9" s="1"/>
  <c r="J20" i="9" s="1"/>
  <c r="K10" i="19"/>
  <c r="G406" i="19"/>
  <c r="M37" i="7"/>
  <c r="G402" i="19"/>
  <c r="M33" i="7"/>
  <c r="F52" i="11"/>
  <c r="D21" i="3" s="1"/>
  <c r="F267" i="19"/>
  <c r="G267" i="19"/>
  <c r="G199" i="19"/>
  <c r="H310" i="19"/>
  <c r="F193" i="19"/>
  <c r="F125" i="19"/>
  <c r="F121" i="19"/>
  <c r="I82" i="19"/>
  <c r="K82" i="19"/>
  <c r="I80" i="19"/>
  <c r="K80" i="19"/>
  <c r="K104" i="7"/>
  <c r="L104" i="7" s="1"/>
  <c r="AK7" i="7" s="1"/>
  <c r="AL7" i="7" s="1"/>
  <c r="C387" i="19"/>
  <c r="T375" i="19"/>
  <c r="O17" i="7"/>
  <c r="J236" i="19"/>
  <c r="L166" i="19"/>
  <c r="O66" i="9"/>
  <c r="F198" i="19"/>
  <c r="J159" i="19"/>
  <c r="O388" i="19"/>
  <c r="G125" i="19"/>
  <c r="G52" i="19"/>
  <c r="F44" i="19"/>
  <c r="J233" i="19"/>
  <c r="J230" i="19"/>
  <c r="F197" i="19"/>
  <c r="I265" i="19"/>
  <c r="F283" i="19"/>
  <c r="C391" i="19"/>
  <c r="T379" i="19"/>
  <c r="O21" i="7"/>
  <c r="E391" i="19"/>
  <c r="C457" i="19"/>
  <c r="O56" i="7"/>
  <c r="N56" i="7"/>
  <c r="E457" i="19" s="1"/>
  <c r="G382" i="19"/>
  <c r="O15" i="18"/>
  <c r="O27" i="14"/>
  <c r="O16" i="13"/>
  <c r="O17" i="17"/>
  <c r="O19" i="16"/>
  <c r="O37" i="14"/>
  <c r="O24" i="15"/>
  <c r="O20" i="12"/>
  <c r="O8" i="3"/>
  <c r="Q11" i="11" s="1"/>
  <c r="P23" i="25" l="1"/>
  <c r="P18" i="25"/>
  <c r="P22" i="25"/>
  <c r="P16" i="25"/>
  <c r="P25" i="25"/>
  <c r="P20" i="25"/>
  <c r="P15" i="25"/>
  <c r="P24" i="25"/>
  <c r="P19" i="25"/>
  <c r="P14" i="25"/>
  <c r="P94" i="9"/>
  <c r="L33" i="25"/>
  <c r="L34" i="25" s="1"/>
  <c r="L35" i="25" s="1"/>
  <c r="L36" i="25" s="1"/>
  <c r="L37" i="25" s="1"/>
  <c r="L38" i="25" s="1"/>
  <c r="L39" i="25" s="1"/>
  <c r="L40" i="25" s="1"/>
  <c r="L41" i="25" s="1"/>
  <c r="L42" i="25" s="1"/>
  <c r="L43" i="25" s="1"/>
  <c r="L44" i="25" s="1"/>
  <c r="K33" i="25"/>
  <c r="E24" i="25" s="1"/>
  <c r="J33" i="25"/>
  <c r="J34" i="25" s="1"/>
  <c r="J35" i="25" s="1"/>
  <c r="J36" i="25" s="1"/>
  <c r="J37" i="25" s="1"/>
  <c r="J38" i="25" s="1"/>
  <c r="J39" i="25" s="1"/>
  <c r="J40" i="25" s="1"/>
  <c r="J41" i="25" s="1"/>
  <c r="J42" i="25" s="1"/>
  <c r="J43" i="25" s="1"/>
  <c r="J44" i="25" s="1"/>
  <c r="R35" i="9"/>
  <c r="S35" i="9" s="1"/>
  <c r="H29" i="8"/>
  <c r="H32" i="8"/>
  <c r="H28" i="8"/>
  <c r="H31" i="8"/>
  <c r="H30" i="8"/>
  <c r="C24" i="8"/>
  <c r="C26" i="8"/>
  <c r="C29" i="8" s="1"/>
  <c r="C454" i="19"/>
  <c r="P18" i="7"/>
  <c r="Q18" i="7" s="1"/>
  <c r="G388" i="19" s="1"/>
  <c r="O43" i="7"/>
  <c r="D435" i="19" s="1"/>
  <c r="U376" i="19"/>
  <c r="I33" i="25"/>
  <c r="I34" i="25" s="1"/>
  <c r="I35" i="25" s="1"/>
  <c r="I36" i="25" s="1"/>
  <c r="F11" i="25"/>
  <c r="F19" i="25" s="1"/>
  <c r="F11" i="11"/>
  <c r="H17" i="9"/>
  <c r="D36" i="25"/>
  <c r="C36" i="25"/>
  <c r="E19" i="25"/>
  <c r="D33" i="14"/>
  <c r="P16" i="23"/>
  <c r="Q11" i="25"/>
  <c r="E20" i="12"/>
  <c r="E16" i="23"/>
  <c r="F14" i="17"/>
  <c r="D29" i="14"/>
  <c r="D31" i="14"/>
  <c r="D34" i="14"/>
  <c r="D28" i="14"/>
  <c r="D30" i="14"/>
  <c r="D32" i="14"/>
  <c r="C35" i="14"/>
  <c r="B28" i="3" s="1"/>
  <c r="N46" i="7"/>
  <c r="E438" i="19" s="1"/>
  <c r="AL9" i="7"/>
  <c r="O46" i="7"/>
  <c r="D438" i="19" s="1"/>
  <c r="AL5" i="7"/>
  <c r="N39" i="9"/>
  <c r="X25" i="23"/>
  <c r="L113" i="7"/>
  <c r="R39" i="9"/>
  <c r="S39" i="9" s="1"/>
  <c r="P39" i="9"/>
  <c r="P36" i="9"/>
  <c r="R36" i="9"/>
  <c r="S36" i="9" s="1"/>
  <c r="M49" i="7"/>
  <c r="C441" i="19" s="1"/>
  <c r="N53" i="7"/>
  <c r="E454" i="19" s="1"/>
  <c r="C435" i="19"/>
  <c r="N57" i="7"/>
  <c r="E458" i="19" s="1"/>
  <c r="M58" i="7"/>
  <c r="C459" i="19" s="1"/>
  <c r="L96" i="7"/>
  <c r="O57" i="7"/>
  <c r="O58" i="7" s="1"/>
  <c r="D459" i="19" s="1"/>
  <c r="O25" i="7"/>
  <c r="C395" i="19"/>
  <c r="T381" i="19"/>
  <c r="C393" i="19"/>
  <c r="O23" i="7"/>
  <c r="E393" i="19"/>
  <c r="E389" i="19"/>
  <c r="O19" i="7"/>
  <c r="C389" i="19"/>
  <c r="T377" i="19"/>
  <c r="L104" i="9"/>
  <c r="M104" i="9" s="1"/>
  <c r="L102" i="9"/>
  <c r="M102" i="9" s="1"/>
  <c r="L100" i="9"/>
  <c r="M100" i="9" s="1"/>
  <c r="L98" i="9"/>
  <c r="M98" i="9" s="1"/>
  <c r="M55" i="9"/>
  <c r="F209" i="19" s="1"/>
  <c r="N55" i="9"/>
  <c r="M56" i="9"/>
  <c r="F210" i="19" s="1"/>
  <c r="N56" i="9"/>
  <c r="G210" i="19" s="1"/>
  <c r="J96" i="9"/>
  <c r="K515" i="19" s="1"/>
  <c r="L96" i="9"/>
  <c r="M96" i="9" s="1"/>
  <c r="L94" i="9"/>
  <c r="M94" i="9" s="1"/>
  <c r="J94" i="9"/>
  <c r="K513" i="19" s="1"/>
  <c r="N57" i="9"/>
  <c r="M57" i="9"/>
  <c r="N20" i="9"/>
  <c r="O20" i="9"/>
  <c r="L106" i="9"/>
  <c r="M106" i="9" s="1"/>
  <c r="F146" i="19"/>
  <c r="F144" i="19"/>
  <c r="N21" i="9"/>
  <c r="O21" i="9"/>
  <c r="O22" i="9"/>
  <c r="N22" i="9"/>
  <c r="F66" i="19" s="1"/>
  <c r="F142" i="19"/>
  <c r="F17" i="9"/>
  <c r="F20" i="9"/>
  <c r="G46" i="19" s="1"/>
  <c r="L96" i="8"/>
  <c r="H324" i="19" s="1"/>
  <c r="F62" i="19"/>
  <c r="F63" i="19"/>
  <c r="I107" i="9"/>
  <c r="J526" i="19" s="1"/>
  <c r="D457" i="19"/>
  <c r="P56" i="7"/>
  <c r="Q388" i="19"/>
  <c r="I9" i="5"/>
  <c r="E9" i="5"/>
  <c r="H9" i="5"/>
  <c r="G9" i="5"/>
  <c r="F9" i="5"/>
  <c r="P15" i="18"/>
  <c r="P17" i="17"/>
  <c r="P19" i="16"/>
  <c r="P24" i="15"/>
  <c r="P37" i="14"/>
  <c r="P20" i="12"/>
  <c r="P27" i="14"/>
  <c r="P16" i="13"/>
  <c r="P8" i="3"/>
  <c r="R11" i="11" s="1"/>
  <c r="I197" i="19"/>
  <c r="F215" i="19"/>
  <c r="L233" i="19"/>
  <c r="Q79" i="9"/>
  <c r="R79" i="9" s="1"/>
  <c r="S388" i="19"/>
  <c r="H12" i="5"/>
  <c r="G12" i="5"/>
  <c r="F12" i="5"/>
  <c r="I12" i="5"/>
  <c r="E12" i="5"/>
  <c r="F116" i="19"/>
  <c r="F118" i="19"/>
  <c r="I125" i="19"/>
  <c r="F143" i="19"/>
  <c r="I267" i="19"/>
  <c r="F285" i="19"/>
  <c r="C415" i="19"/>
  <c r="N33" i="7"/>
  <c r="E415" i="19" s="1"/>
  <c r="O33" i="7"/>
  <c r="B471" i="19" a="1"/>
  <c r="D436" i="19"/>
  <c r="P44" i="7"/>
  <c r="D454" i="19"/>
  <c r="P53" i="7"/>
  <c r="L162" i="19"/>
  <c r="O62" i="9"/>
  <c r="C414" i="19"/>
  <c r="N32" i="7"/>
  <c r="E414" i="19" s="1"/>
  <c r="O32" i="7"/>
  <c r="L228" i="19"/>
  <c r="D439" i="19"/>
  <c r="P47" i="7"/>
  <c r="L168" i="19"/>
  <c r="O68" i="9"/>
  <c r="C413" i="19"/>
  <c r="N31" i="7"/>
  <c r="E413" i="19" s="1"/>
  <c r="O31" i="7"/>
  <c r="I47" i="19"/>
  <c r="L155" i="19"/>
  <c r="P61" i="8"/>
  <c r="L169" i="19" s="1"/>
  <c r="I192" i="19"/>
  <c r="C367" i="19"/>
  <c r="F43" i="19"/>
  <c r="E31" i="9"/>
  <c r="F57" i="19" s="1"/>
  <c r="I270" i="19"/>
  <c r="F288" i="19"/>
  <c r="G217" i="19"/>
  <c r="E181" i="19"/>
  <c r="H217" i="19"/>
  <c r="K512" i="19"/>
  <c r="T388" i="19"/>
  <c r="O394" i="19"/>
  <c r="F324" i="19"/>
  <c r="G5" i="9"/>
  <c r="L227" i="19"/>
  <c r="F281" i="19"/>
  <c r="P79" i="8"/>
  <c r="L241" i="19" s="1"/>
  <c r="J513" i="19"/>
  <c r="I276" i="19"/>
  <c r="F294" i="19"/>
  <c r="G220" i="19"/>
  <c r="E184" i="19"/>
  <c r="H220" i="19"/>
  <c r="D387" i="19"/>
  <c r="U375" i="19"/>
  <c r="P17" i="7"/>
  <c r="G191" i="19"/>
  <c r="F69" i="9"/>
  <c r="G205" i="19" s="1"/>
  <c r="F46" i="19"/>
  <c r="L229" i="19"/>
  <c r="Q75" i="9"/>
  <c r="R75" i="9" s="1"/>
  <c r="I56" i="19"/>
  <c r="F74" i="19"/>
  <c r="F20" i="10"/>
  <c r="G27" i="13"/>
  <c r="F30" i="13"/>
  <c r="E25" i="3" s="1"/>
  <c r="N20" i="3"/>
  <c r="B470" i="19" a="1"/>
  <c r="I266" i="19"/>
  <c r="F284" i="19"/>
  <c r="L239" i="19"/>
  <c r="Q85" i="9"/>
  <c r="R85" i="9" s="1"/>
  <c r="I272" i="19"/>
  <c r="F290" i="19"/>
  <c r="C390" i="19"/>
  <c r="T378" i="19"/>
  <c r="O20" i="7"/>
  <c r="E390" i="19"/>
  <c r="J523" i="19"/>
  <c r="K523" i="19"/>
  <c r="I53" i="19"/>
  <c r="F71" i="19"/>
  <c r="J20" i="3"/>
  <c r="L234" i="19"/>
  <c r="Q80" i="9"/>
  <c r="R80" i="9" s="1"/>
  <c r="L165" i="19"/>
  <c r="O65" i="9"/>
  <c r="L235" i="19"/>
  <c r="Q81" i="9"/>
  <c r="R81" i="9" s="1"/>
  <c r="K79" i="19"/>
  <c r="K93" i="19"/>
  <c r="I119" i="19"/>
  <c r="G212" i="19"/>
  <c r="E176" i="19"/>
  <c r="H212" i="19"/>
  <c r="G146" i="19"/>
  <c r="E110" i="19"/>
  <c r="H146" i="19"/>
  <c r="D37" i="2"/>
  <c r="C29" i="5"/>
  <c r="I263" i="19"/>
  <c r="H87" i="9"/>
  <c r="I277" i="19" s="1"/>
  <c r="I50" i="19"/>
  <c r="F68" i="19"/>
  <c r="E108" i="19"/>
  <c r="G144" i="19"/>
  <c r="H144" i="19"/>
  <c r="D35" i="2"/>
  <c r="I127" i="19"/>
  <c r="F145" i="19"/>
  <c r="T380" i="19"/>
  <c r="C392" i="19"/>
  <c r="E392" i="19"/>
  <c r="O22" i="7"/>
  <c r="L161" i="19"/>
  <c r="O61" i="9"/>
  <c r="L231" i="19"/>
  <c r="Q77" i="9"/>
  <c r="R77" i="9" s="1"/>
  <c r="C416" i="19"/>
  <c r="N34" i="7"/>
  <c r="E416" i="19" s="1"/>
  <c r="O34" i="7"/>
  <c r="O393" i="19"/>
  <c r="J241" i="19"/>
  <c r="L7" i="2"/>
  <c r="F340" i="19" s="1"/>
  <c r="J525" i="19"/>
  <c r="K525" i="19"/>
  <c r="I51" i="19"/>
  <c r="F69" i="19"/>
  <c r="I194" i="19"/>
  <c r="F212" i="19"/>
  <c r="O392" i="19"/>
  <c r="R388" i="19"/>
  <c r="G11" i="5"/>
  <c r="F11" i="5"/>
  <c r="I11" i="5"/>
  <c r="E11" i="5"/>
  <c r="H11" i="5"/>
  <c r="L159" i="19"/>
  <c r="O59" i="9"/>
  <c r="D391" i="19"/>
  <c r="U379" i="19"/>
  <c r="P21" i="7"/>
  <c r="L230" i="19"/>
  <c r="Q76" i="9"/>
  <c r="R76" i="9" s="1"/>
  <c r="I44" i="19"/>
  <c r="F10" i="5"/>
  <c r="I10" i="5"/>
  <c r="E10" i="5"/>
  <c r="H10" i="5"/>
  <c r="G10" i="5"/>
  <c r="H17" i="8"/>
  <c r="I121" i="19"/>
  <c r="F139" i="19"/>
  <c r="I193" i="19"/>
  <c r="G142" i="19"/>
  <c r="E106" i="19"/>
  <c r="H142" i="19"/>
  <c r="D33" i="2"/>
  <c r="C419" i="19"/>
  <c r="N37" i="7"/>
  <c r="E419" i="19" s="1"/>
  <c r="O37" i="7"/>
  <c r="E20" i="3"/>
  <c r="I204" i="19"/>
  <c r="F222" i="19"/>
  <c r="H11" i="10"/>
  <c r="I201" i="19"/>
  <c r="F219" i="19"/>
  <c r="C418" i="19"/>
  <c r="N36" i="7"/>
  <c r="E418" i="19" s="1"/>
  <c r="O36" i="7"/>
  <c r="J519" i="19"/>
  <c r="K519" i="19"/>
  <c r="I275" i="19"/>
  <c r="F293" i="19"/>
  <c r="L164" i="19"/>
  <c r="O64" i="9"/>
  <c r="F117" i="19"/>
  <c r="G117" i="19"/>
  <c r="C417" i="19"/>
  <c r="N35" i="7"/>
  <c r="E417" i="19" s="1"/>
  <c r="O35" i="7"/>
  <c r="I49" i="19"/>
  <c r="F67" i="19"/>
  <c r="J169" i="19"/>
  <c r="I7" i="2"/>
  <c r="G116" i="19"/>
  <c r="E435" i="19"/>
  <c r="N49" i="7"/>
  <c r="E441" i="19" s="1"/>
  <c r="K7" i="19"/>
  <c r="O22" i="8"/>
  <c r="G294" i="19"/>
  <c r="E258" i="19"/>
  <c r="H294" i="19"/>
  <c r="I195" i="19"/>
  <c r="F213" i="19"/>
  <c r="L237" i="19"/>
  <c r="Q83" i="9"/>
  <c r="R83" i="9" s="1"/>
  <c r="D455" i="19"/>
  <c r="P54" i="7"/>
  <c r="L157" i="19"/>
  <c r="C412" i="19"/>
  <c r="N30" i="7"/>
  <c r="M39" i="7"/>
  <c r="C421" i="19" s="1"/>
  <c r="O30" i="7"/>
  <c r="D456" i="19"/>
  <c r="P55" i="7"/>
  <c r="J521" i="19"/>
  <c r="K521" i="19"/>
  <c r="I120" i="19"/>
  <c r="C394" i="19"/>
  <c r="T382" i="19"/>
  <c r="E394" i="19"/>
  <c r="O24" i="7"/>
  <c r="I198" i="19"/>
  <c r="F216" i="19"/>
  <c r="L236" i="19"/>
  <c r="Q82" i="9"/>
  <c r="R82" i="9" s="1"/>
  <c r="E387" i="19"/>
  <c r="G52" i="11"/>
  <c r="E21" i="3" s="1"/>
  <c r="I52" i="19"/>
  <c r="F70" i="19"/>
  <c r="I196" i="19"/>
  <c r="F214" i="19"/>
  <c r="F508" i="19"/>
  <c r="I202" i="19"/>
  <c r="F220" i="19"/>
  <c r="L232" i="19"/>
  <c r="Q78" i="9"/>
  <c r="R78" i="9" s="1"/>
  <c r="G292" i="19"/>
  <c r="E256" i="19"/>
  <c r="H292" i="19"/>
  <c r="I273" i="19"/>
  <c r="F291" i="19"/>
  <c r="I123" i="19"/>
  <c r="F141" i="19"/>
  <c r="I191" i="19"/>
  <c r="H69" i="9"/>
  <c r="I205" i="19" s="1"/>
  <c r="J515" i="19"/>
  <c r="I269" i="19"/>
  <c r="F287" i="19"/>
  <c r="I48" i="19"/>
  <c r="I199" i="19"/>
  <c r="F217" i="19"/>
  <c r="I268" i="19"/>
  <c r="F286" i="19"/>
  <c r="G263" i="19"/>
  <c r="F87" i="9"/>
  <c r="G277" i="19" s="1"/>
  <c r="G214" i="19"/>
  <c r="E178" i="19"/>
  <c r="H214" i="19"/>
  <c r="G221" i="19"/>
  <c r="E185" i="19"/>
  <c r="H221" i="19"/>
  <c r="F115" i="19"/>
  <c r="E49" i="9"/>
  <c r="F129" i="19" s="1"/>
  <c r="I122" i="19"/>
  <c r="F140" i="19"/>
  <c r="G118" i="19"/>
  <c r="I54" i="19"/>
  <c r="F72" i="19"/>
  <c r="B49" i="2"/>
  <c r="O24" i="2" s="1"/>
  <c r="E15" i="18"/>
  <c r="E17" i="17"/>
  <c r="E24" i="15"/>
  <c r="E27" i="14"/>
  <c r="E16" i="13"/>
  <c r="E19" i="16"/>
  <c r="E37" i="14"/>
  <c r="I8" i="7"/>
  <c r="E8" i="3"/>
  <c r="I45" i="19"/>
  <c r="I200" i="19"/>
  <c r="F218" i="19"/>
  <c r="D437" i="19"/>
  <c r="U383" i="19" s="1"/>
  <c r="P45" i="7"/>
  <c r="C420" i="19"/>
  <c r="N38" i="7"/>
  <c r="E420" i="19" s="1"/>
  <c r="O38" i="7"/>
  <c r="J517" i="19"/>
  <c r="K517" i="19"/>
  <c r="I55" i="19"/>
  <c r="F73" i="19"/>
  <c r="F388" i="19" l="1"/>
  <c r="E25" i="25"/>
  <c r="K34" i="25"/>
  <c r="K35" i="25" s="1"/>
  <c r="K36" i="25" s="1"/>
  <c r="K37" i="25" s="1"/>
  <c r="K38" i="25" s="1"/>
  <c r="K39" i="25" s="1"/>
  <c r="K40" i="25" s="1"/>
  <c r="K41" i="25" s="1"/>
  <c r="K42" i="25"/>
  <c r="K43" i="25" s="1"/>
  <c r="K44" i="25" s="1"/>
  <c r="E23" i="25"/>
  <c r="O49" i="7"/>
  <c r="D441" i="19" s="1"/>
  <c r="N17" i="9"/>
  <c r="F61" i="19" s="1"/>
  <c r="J17" i="9"/>
  <c r="C27" i="8"/>
  <c r="O26" i="7"/>
  <c r="P46" i="7"/>
  <c r="P43" i="7"/>
  <c r="Q43" i="7" s="1"/>
  <c r="D485" i="19"/>
  <c r="F73" i="7"/>
  <c r="G73" i="7" s="1"/>
  <c r="C485" i="19"/>
  <c r="O17" i="9"/>
  <c r="F25" i="25"/>
  <c r="I37" i="25"/>
  <c r="I38" i="25" s="1"/>
  <c r="I39" i="25" s="1"/>
  <c r="I40" i="25" s="1"/>
  <c r="I41" i="25" s="1"/>
  <c r="I42" i="25" s="1"/>
  <c r="I43" i="25" s="1"/>
  <c r="I44" i="25" s="1"/>
  <c r="F18" i="25"/>
  <c r="F23" i="25"/>
  <c r="G11" i="25"/>
  <c r="G11" i="11"/>
  <c r="D37" i="25"/>
  <c r="Q15" i="25" s="1"/>
  <c r="E33" i="14"/>
  <c r="C37" i="25"/>
  <c r="Q14" i="25" s="1"/>
  <c r="Q18" i="25"/>
  <c r="Q25" i="25"/>
  <c r="Q23" i="25"/>
  <c r="Q24" i="25"/>
  <c r="Q19" i="25"/>
  <c r="Q16" i="23"/>
  <c r="R11" i="25"/>
  <c r="F20" i="12"/>
  <c r="F16" i="23"/>
  <c r="D35" i="14"/>
  <c r="E28" i="14"/>
  <c r="E30" i="14"/>
  <c r="E34" i="14"/>
  <c r="E29" i="14"/>
  <c r="E32" i="14"/>
  <c r="E31" i="14"/>
  <c r="E174" i="19"/>
  <c r="Y25" i="23"/>
  <c r="N58" i="7"/>
  <c r="E459" i="19" s="1"/>
  <c r="P57" i="7"/>
  <c r="P58" i="7" s="1"/>
  <c r="F459" i="19" s="1"/>
  <c r="D458" i="19"/>
  <c r="E395" i="19"/>
  <c r="U377" i="19"/>
  <c r="P19" i="7"/>
  <c r="D389" i="19"/>
  <c r="P25" i="7"/>
  <c r="P23" i="7"/>
  <c r="U381" i="19"/>
  <c r="D393" i="19"/>
  <c r="T384" i="19"/>
  <c r="O56" i="9"/>
  <c r="H210" i="19" s="1"/>
  <c r="Q56" i="9"/>
  <c r="R56" i="9" s="1"/>
  <c r="H174" i="19" s="1"/>
  <c r="Q57" i="9"/>
  <c r="R57" i="9" s="1"/>
  <c r="O57" i="9"/>
  <c r="H211" i="19" s="1"/>
  <c r="Q55" i="9"/>
  <c r="R55" i="9" s="1"/>
  <c r="O55" i="9"/>
  <c r="H13" i="8"/>
  <c r="H11" i="8"/>
  <c r="H8" i="8"/>
  <c r="H10" i="8"/>
  <c r="H12" i="8"/>
  <c r="H9" i="8"/>
  <c r="I8" i="2"/>
  <c r="K8" i="2" s="1"/>
  <c r="E341" i="19" s="1"/>
  <c r="F138" i="19"/>
  <c r="R22" i="9"/>
  <c r="S22" i="9" s="1"/>
  <c r="P22" i="9"/>
  <c r="H66" i="19" s="1"/>
  <c r="F64" i="19"/>
  <c r="P18" i="9"/>
  <c r="H62" i="19" s="1"/>
  <c r="R18" i="9"/>
  <c r="S18" i="9" s="1"/>
  <c r="P21" i="9"/>
  <c r="H65" i="19" s="1"/>
  <c r="R21" i="9"/>
  <c r="S21" i="9" s="1"/>
  <c r="P19" i="9"/>
  <c r="H63" i="19" s="1"/>
  <c r="R19" i="9"/>
  <c r="S19" i="9" s="1"/>
  <c r="F65" i="19"/>
  <c r="P107" i="9"/>
  <c r="F5" i="9" s="1"/>
  <c r="F211" i="19"/>
  <c r="G66" i="19"/>
  <c r="E30" i="19"/>
  <c r="D11" i="2"/>
  <c r="G286" i="19"/>
  <c r="E250" i="19"/>
  <c r="H286" i="19"/>
  <c r="F458" i="19"/>
  <c r="D394" i="19"/>
  <c r="U382" i="19"/>
  <c r="P24" i="7"/>
  <c r="D412" i="19"/>
  <c r="O39" i="7"/>
  <c r="D421" i="19" s="1"/>
  <c r="P30" i="7"/>
  <c r="F455" i="19"/>
  <c r="Q54" i="7"/>
  <c r="G455" i="19" s="1"/>
  <c r="K21" i="19"/>
  <c r="I6" i="2"/>
  <c r="G218" i="19"/>
  <c r="E182" i="19"/>
  <c r="H218" i="19"/>
  <c r="I11" i="10"/>
  <c r="D419" i="19"/>
  <c r="P37" i="7"/>
  <c r="G106" i="19"/>
  <c r="H106" i="19"/>
  <c r="F33" i="2"/>
  <c r="G284" i="19"/>
  <c r="E248" i="19"/>
  <c r="H284" i="19"/>
  <c r="Q393" i="19"/>
  <c r="P393" i="19"/>
  <c r="G285" i="19"/>
  <c r="E249" i="19"/>
  <c r="H285" i="19"/>
  <c r="G145" i="19"/>
  <c r="E109" i="19"/>
  <c r="H145" i="19"/>
  <c r="D36" i="2"/>
  <c r="G108" i="19"/>
  <c r="H108" i="19"/>
  <c r="F35" i="2"/>
  <c r="G110" i="19"/>
  <c r="H110" i="19"/>
  <c r="F37" i="2"/>
  <c r="F137" i="19"/>
  <c r="K20" i="3"/>
  <c r="G74" i="19"/>
  <c r="E38" i="19"/>
  <c r="H74" i="19"/>
  <c r="D19" i="2"/>
  <c r="J107" i="9"/>
  <c r="K526" i="19" s="1"/>
  <c r="G43" i="19"/>
  <c r="F31" i="9"/>
  <c r="G57" i="19" s="1"/>
  <c r="I69" i="9"/>
  <c r="G222" i="19"/>
  <c r="E186" i="19"/>
  <c r="H222" i="19"/>
  <c r="D414" i="19"/>
  <c r="P32" i="7"/>
  <c r="F436" i="19"/>
  <c r="Q44" i="7"/>
  <c r="G436" i="19" s="1"/>
  <c r="D415" i="19"/>
  <c r="P33" i="7"/>
  <c r="I118" i="19"/>
  <c r="F136" i="19"/>
  <c r="F15" i="18"/>
  <c r="F17" i="17"/>
  <c r="F24" i="15"/>
  <c r="F37" i="14"/>
  <c r="F19" i="16"/>
  <c r="F27" i="14"/>
  <c r="F16" i="13"/>
  <c r="J8" i="7"/>
  <c r="F8" i="3"/>
  <c r="G72" i="19"/>
  <c r="E36" i="19"/>
  <c r="H72" i="19"/>
  <c r="D17" i="2"/>
  <c r="G115" i="19"/>
  <c r="F49" i="9"/>
  <c r="G129" i="19" s="1"/>
  <c r="G290" i="19"/>
  <c r="E254" i="19"/>
  <c r="H290" i="19"/>
  <c r="G258" i="19"/>
  <c r="H258" i="19"/>
  <c r="C340" i="19"/>
  <c r="K7" i="2"/>
  <c r="E340" i="19" s="1"/>
  <c r="J7" i="2"/>
  <c r="D340" i="19" s="1"/>
  <c r="D418" i="19"/>
  <c r="P36" i="7"/>
  <c r="P388" i="19"/>
  <c r="C42" i="2"/>
  <c r="E26" i="19"/>
  <c r="G62" i="19"/>
  <c r="D7" i="2"/>
  <c r="G213" i="19"/>
  <c r="E177" i="19"/>
  <c r="H213" i="19"/>
  <c r="P392" i="19"/>
  <c r="Q392" i="19"/>
  <c r="D416" i="19"/>
  <c r="P34" i="7"/>
  <c r="D29" i="5"/>
  <c r="E28" i="5"/>
  <c r="G176" i="19"/>
  <c r="H176" i="19"/>
  <c r="G137" i="19"/>
  <c r="E101" i="19"/>
  <c r="H137" i="19"/>
  <c r="D28" i="2"/>
  <c r="G289" i="19"/>
  <c r="E253" i="19"/>
  <c r="H289" i="19"/>
  <c r="G288" i="19"/>
  <c r="E252" i="19"/>
  <c r="H288" i="19"/>
  <c r="G71" i="19"/>
  <c r="E35" i="19"/>
  <c r="H71" i="19"/>
  <c r="D16" i="2"/>
  <c r="O20" i="3"/>
  <c r="G30" i="13"/>
  <c r="F25" i="3" s="1"/>
  <c r="H27" i="13"/>
  <c r="G20" i="10"/>
  <c r="I46" i="19"/>
  <c r="F387" i="19"/>
  <c r="Q17" i="7"/>
  <c r="I43" i="19"/>
  <c r="H31" i="9"/>
  <c r="D413" i="19"/>
  <c r="P31" i="7"/>
  <c r="E107" i="19"/>
  <c r="G143" i="19"/>
  <c r="H143" i="19"/>
  <c r="D34" i="2"/>
  <c r="E104" i="19"/>
  <c r="G140" i="19"/>
  <c r="H140" i="19"/>
  <c r="D31" i="2"/>
  <c r="D367" i="19"/>
  <c r="I115" i="19"/>
  <c r="H49" i="9"/>
  <c r="I129" i="19" s="1"/>
  <c r="F133" i="19"/>
  <c r="G141" i="19"/>
  <c r="E105" i="19"/>
  <c r="H141" i="19"/>
  <c r="D32" i="2"/>
  <c r="G256" i="19"/>
  <c r="H256" i="19"/>
  <c r="G70" i="19"/>
  <c r="E34" i="19"/>
  <c r="H70" i="19"/>
  <c r="D15" i="2"/>
  <c r="H52" i="11"/>
  <c r="F456" i="19"/>
  <c r="Q55" i="7"/>
  <c r="G456" i="19" s="1"/>
  <c r="E412" i="19"/>
  <c r="N39" i="7"/>
  <c r="E421" i="19" s="1"/>
  <c r="G211" i="19"/>
  <c r="E175" i="19"/>
  <c r="G291" i="19"/>
  <c r="E255" i="19"/>
  <c r="H291" i="19"/>
  <c r="D417" i="19"/>
  <c r="P35" i="7"/>
  <c r="I117" i="19"/>
  <c r="F135" i="19"/>
  <c r="E103" i="19"/>
  <c r="G139" i="19"/>
  <c r="H139" i="19"/>
  <c r="D30" i="2"/>
  <c r="F391" i="19"/>
  <c r="Q21" i="7"/>
  <c r="G391" i="19" s="1"/>
  <c r="G69" i="19"/>
  <c r="E33" i="19"/>
  <c r="H69" i="19"/>
  <c r="D14" i="2"/>
  <c r="L107" i="9"/>
  <c r="H5" i="9" s="1"/>
  <c r="I5" i="9" s="1"/>
  <c r="G215" i="19"/>
  <c r="E179" i="19"/>
  <c r="H215" i="19"/>
  <c r="U378" i="19"/>
  <c r="D390" i="19"/>
  <c r="P20" i="7"/>
  <c r="G184" i="19"/>
  <c r="H184" i="19"/>
  <c r="I87" i="9"/>
  <c r="Q73" i="9"/>
  <c r="R73" i="9" s="1"/>
  <c r="P394" i="19"/>
  <c r="Q394" i="19"/>
  <c r="G65" i="19"/>
  <c r="E29" i="19"/>
  <c r="D10" i="2"/>
  <c r="F439" i="19"/>
  <c r="Q47" i="7"/>
  <c r="G439" i="19" s="1"/>
  <c r="Q74" i="9"/>
  <c r="R74" i="9" s="1"/>
  <c r="F282" i="19"/>
  <c r="F454" i="19"/>
  <c r="Q53" i="7"/>
  <c r="AP8" i="7"/>
  <c r="AP6" i="7"/>
  <c r="AP9" i="7"/>
  <c r="B472" i="19" a="1"/>
  <c r="AK16" i="7"/>
  <c r="I116" i="19"/>
  <c r="F134" i="19"/>
  <c r="J40" i="2"/>
  <c r="D354" i="19" s="1"/>
  <c r="I40" i="2"/>
  <c r="C30" i="18" s="1"/>
  <c r="G73" i="19"/>
  <c r="E37" i="19"/>
  <c r="H73" i="19"/>
  <c r="D18" i="2"/>
  <c r="D420" i="19"/>
  <c r="P38" i="7"/>
  <c r="F437" i="19"/>
  <c r="Q45" i="7"/>
  <c r="G437" i="19" s="1"/>
  <c r="E27" i="19"/>
  <c r="G63" i="19"/>
  <c r="D8" i="2"/>
  <c r="G185" i="19"/>
  <c r="H185" i="19"/>
  <c r="G178" i="19"/>
  <c r="H178" i="19"/>
  <c r="G138" i="19"/>
  <c r="E102" i="19"/>
  <c r="H138" i="19"/>
  <c r="D29" i="2"/>
  <c r="G67" i="19"/>
  <c r="E31" i="19"/>
  <c r="H67" i="19"/>
  <c r="D12" i="2"/>
  <c r="F20" i="3"/>
  <c r="M107" i="9"/>
  <c r="S15" i="10" s="1"/>
  <c r="S16" i="10" s="1"/>
  <c r="S17" i="10" s="1"/>
  <c r="S18" i="10" s="1"/>
  <c r="D392" i="19"/>
  <c r="U380" i="19"/>
  <c r="P22" i="7"/>
  <c r="G68" i="19"/>
  <c r="E32" i="19"/>
  <c r="H68" i="19"/>
  <c r="D13" i="2"/>
  <c r="G219" i="19"/>
  <c r="E183" i="19"/>
  <c r="H219" i="19"/>
  <c r="F438" i="19"/>
  <c r="Q46" i="7"/>
  <c r="G438" i="19" s="1"/>
  <c r="G293" i="19"/>
  <c r="E257" i="19"/>
  <c r="H293" i="19"/>
  <c r="M470" i="19"/>
  <c r="I470" i="19"/>
  <c r="E470" i="19"/>
  <c r="B470" i="19"/>
  <c r="K470" i="19"/>
  <c r="G470" i="19"/>
  <c r="C470" i="19"/>
  <c r="H470" i="19"/>
  <c r="N470" i="19"/>
  <c r="F470" i="19"/>
  <c r="L470" i="19"/>
  <c r="D470" i="19"/>
  <c r="J470" i="19"/>
  <c r="G283" i="19"/>
  <c r="E247" i="19"/>
  <c r="H283" i="19"/>
  <c r="G181" i="19"/>
  <c r="H181" i="19"/>
  <c r="G216" i="19"/>
  <c r="E180" i="19"/>
  <c r="H216" i="19"/>
  <c r="K471" i="19"/>
  <c r="G471" i="19"/>
  <c r="C471" i="19"/>
  <c r="M471" i="19"/>
  <c r="I471" i="19"/>
  <c r="E471" i="19"/>
  <c r="B471" i="19"/>
  <c r="J471" i="19"/>
  <c r="H471" i="19"/>
  <c r="N471" i="19"/>
  <c r="F471" i="19"/>
  <c r="L471" i="19"/>
  <c r="D471" i="19"/>
  <c r="G287" i="19"/>
  <c r="E251" i="19"/>
  <c r="H287" i="19"/>
  <c r="Q15" i="18"/>
  <c r="Q24" i="15"/>
  <c r="Q27" i="14"/>
  <c r="Q16" i="13"/>
  <c r="Q17" i="17"/>
  <c r="Q37" i="14"/>
  <c r="Q20" i="12"/>
  <c r="Q19" i="16"/>
  <c r="Q8" i="3"/>
  <c r="S11" i="11" s="1"/>
  <c r="F457" i="19"/>
  <c r="Q56" i="7"/>
  <c r="G457" i="19" s="1"/>
  <c r="AO4" i="7" l="1"/>
  <c r="G24" i="25"/>
  <c r="F24" i="25"/>
  <c r="AO5" i="7"/>
  <c r="F435" i="19"/>
  <c r="AO14" i="7"/>
  <c r="AP14" i="7"/>
  <c r="AP12" i="7"/>
  <c r="AP13" i="7"/>
  <c r="AP7" i="7"/>
  <c r="AP15" i="7"/>
  <c r="AP11" i="7"/>
  <c r="Q57" i="7"/>
  <c r="G458" i="19" s="1"/>
  <c r="AM4" i="7"/>
  <c r="AO9" i="7"/>
  <c r="P26" i="7"/>
  <c r="AO8" i="7"/>
  <c r="AO11" i="7"/>
  <c r="AO13" i="7"/>
  <c r="AO7" i="7"/>
  <c r="AO10" i="7"/>
  <c r="AO12" i="7"/>
  <c r="AP5" i="7"/>
  <c r="AP10" i="7"/>
  <c r="AP4" i="7"/>
  <c r="AO6" i="7"/>
  <c r="AO15" i="7"/>
  <c r="P49" i="7"/>
  <c r="F441" i="19" s="1"/>
  <c r="D487" i="19"/>
  <c r="C487" i="19"/>
  <c r="G22" i="25"/>
  <c r="Q22" i="25"/>
  <c r="G18" i="25"/>
  <c r="F22" i="25"/>
  <c r="G19" i="25"/>
  <c r="G25" i="25"/>
  <c r="C31" i="5"/>
  <c r="D31" i="5" s="1"/>
  <c r="J8" i="2"/>
  <c r="D341" i="19" s="1"/>
  <c r="F33" i="14"/>
  <c r="G23" i="25"/>
  <c r="C341" i="19"/>
  <c r="E22" i="25"/>
  <c r="D38" i="25"/>
  <c r="R15" i="25" s="1"/>
  <c r="E15" i="25"/>
  <c r="H11" i="25"/>
  <c r="H24" i="25" s="1"/>
  <c r="H11" i="11"/>
  <c r="C38" i="25"/>
  <c r="R14" i="25" s="1"/>
  <c r="E14" i="25"/>
  <c r="R16" i="23"/>
  <c r="S11" i="25"/>
  <c r="R23" i="25"/>
  <c r="R19" i="25"/>
  <c r="R24" i="25"/>
  <c r="R22" i="25"/>
  <c r="R25" i="25"/>
  <c r="R18" i="25"/>
  <c r="F31" i="14"/>
  <c r="F30" i="14"/>
  <c r="G20" i="12"/>
  <c r="G16" i="23"/>
  <c r="F32" i="14"/>
  <c r="F29" i="14"/>
  <c r="F28" i="14"/>
  <c r="F34" i="14"/>
  <c r="E35" i="14"/>
  <c r="G174" i="19"/>
  <c r="Z25" i="23"/>
  <c r="F393" i="19"/>
  <c r="Q23" i="7"/>
  <c r="G393" i="19" s="1"/>
  <c r="F389" i="19"/>
  <c r="Q19" i="7"/>
  <c r="G389" i="19" s="1"/>
  <c r="AM14" i="7"/>
  <c r="Q25" i="7"/>
  <c r="U384" i="19"/>
  <c r="D84" i="19"/>
  <c r="D80" i="19"/>
  <c r="D83" i="19"/>
  <c r="D79" i="19"/>
  <c r="D82" i="19"/>
  <c r="D81" i="19"/>
  <c r="D157" i="19"/>
  <c r="D9" i="19"/>
  <c r="D12" i="19"/>
  <c r="D10" i="19"/>
  <c r="D156" i="19"/>
  <c r="D228" i="19"/>
  <c r="D155" i="19"/>
  <c r="D11" i="19"/>
  <c r="D227" i="19"/>
  <c r="D158" i="19"/>
  <c r="L8" i="2"/>
  <c r="F341" i="19" s="1"/>
  <c r="R17" i="9"/>
  <c r="S17" i="9" s="1"/>
  <c r="P17" i="9"/>
  <c r="J31" i="9"/>
  <c r="P20" i="9"/>
  <c r="H64" i="19" s="1"/>
  <c r="R20" i="9"/>
  <c r="S20" i="9" s="1"/>
  <c r="C354" i="19"/>
  <c r="C31" i="18"/>
  <c r="G134" i="19"/>
  <c r="E98" i="19"/>
  <c r="H134" i="19"/>
  <c r="D25" i="2"/>
  <c r="M472" i="19"/>
  <c r="I472" i="19"/>
  <c r="E472" i="19"/>
  <c r="B472" i="19"/>
  <c r="L472" i="19"/>
  <c r="K472" i="19"/>
  <c r="G472" i="19"/>
  <c r="C472" i="19"/>
  <c r="N472" i="19"/>
  <c r="J472" i="19"/>
  <c r="F472" i="19"/>
  <c r="H472" i="19"/>
  <c r="D472" i="19"/>
  <c r="E99" i="19"/>
  <c r="G135" i="19"/>
  <c r="H135" i="19"/>
  <c r="D26" i="2"/>
  <c r="F21" i="3"/>
  <c r="J49" i="9"/>
  <c r="G107" i="19"/>
  <c r="H107" i="19"/>
  <c r="F34" i="2"/>
  <c r="G61" i="19"/>
  <c r="E25" i="19"/>
  <c r="O31" i="9"/>
  <c r="D6" i="2"/>
  <c r="AM9" i="7"/>
  <c r="G387" i="19"/>
  <c r="G64" i="19"/>
  <c r="E28" i="19"/>
  <c r="D9" i="2"/>
  <c r="H20" i="10"/>
  <c r="G252" i="19"/>
  <c r="H252" i="19"/>
  <c r="G253" i="19"/>
  <c r="H253" i="19"/>
  <c r="E100" i="19"/>
  <c r="G136" i="19"/>
  <c r="H136" i="19"/>
  <c r="D27" i="2"/>
  <c r="F415" i="19"/>
  <c r="Q33" i="7"/>
  <c r="G415" i="19" s="1"/>
  <c r="F414" i="19"/>
  <c r="Q32" i="7"/>
  <c r="G414" i="19" s="1"/>
  <c r="F419" i="19"/>
  <c r="Q37" i="7"/>
  <c r="G419" i="19" s="1"/>
  <c r="J11" i="10"/>
  <c r="G250" i="19"/>
  <c r="H250" i="19"/>
  <c r="G183" i="19"/>
  <c r="H183" i="19"/>
  <c r="S19" i="10"/>
  <c r="G282" i="19"/>
  <c r="E246" i="19"/>
  <c r="H282" i="19"/>
  <c r="G281" i="19"/>
  <c r="E245" i="19"/>
  <c r="N87" i="9"/>
  <c r="D395" i="19"/>
  <c r="F390" i="19"/>
  <c r="Q20" i="7"/>
  <c r="G390" i="19" s="1"/>
  <c r="G179" i="19"/>
  <c r="H179" i="19"/>
  <c r="G33" i="19"/>
  <c r="H33" i="19"/>
  <c r="F14" i="2"/>
  <c r="G255" i="19"/>
  <c r="H255" i="19"/>
  <c r="G34" i="19"/>
  <c r="H34" i="19"/>
  <c r="F15" i="2"/>
  <c r="AM8" i="7"/>
  <c r="AM13" i="7"/>
  <c r="AM7" i="7"/>
  <c r="G35" i="19"/>
  <c r="H35" i="19"/>
  <c r="F16" i="2"/>
  <c r="F416" i="19"/>
  <c r="Q34" i="7"/>
  <c r="G416" i="19" s="1"/>
  <c r="F418" i="19"/>
  <c r="Q36" i="7"/>
  <c r="G418" i="19" s="1"/>
  <c r="G15" i="18"/>
  <c r="G27" i="14"/>
  <c r="G16" i="13"/>
  <c r="G19" i="16"/>
  <c r="G24" i="15"/>
  <c r="G37" i="14"/>
  <c r="G17" i="17"/>
  <c r="K8" i="7"/>
  <c r="G8" i="3"/>
  <c r="G249" i="19"/>
  <c r="H249" i="19"/>
  <c r="G248" i="19"/>
  <c r="H248" i="19"/>
  <c r="F412" i="19"/>
  <c r="AN14" i="7"/>
  <c r="AN10" i="7"/>
  <c r="AN6" i="7"/>
  <c r="Q30" i="7"/>
  <c r="AN13" i="7"/>
  <c r="AN9" i="7"/>
  <c r="AN5" i="7"/>
  <c r="P39" i="7"/>
  <c r="F421" i="19" s="1"/>
  <c r="AN12" i="7"/>
  <c r="AN8" i="7"/>
  <c r="AN4" i="7"/>
  <c r="AN11" i="7"/>
  <c r="AN7" i="7"/>
  <c r="AN15" i="7"/>
  <c r="G251" i="19"/>
  <c r="H251" i="19"/>
  <c r="G247" i="19"/>
  <c r="H247" i="19"/>
  <c r="F392" i="19"/>
  <c r="Q22" i="7"/>
  <c r="G392" i="19" s="1"/>
  <c r="G20" i="3"/>
  <c r="C13" i="15"/>
  <c r="G31" i="19"/>
  <c r="H31" i="19"/>
  <c r="F12" i="2"/>
  <c r="G27" i="19"/>
  <c r="H27" i="19"/>
  <c r="F8" i="2"/>
  <c r="G454" i="19"/>
  <c r="Q58" i="7"/>
  <c r="G459" i="19" s="1"/>
  <c r="G29" i="19"/>
  <c r="H29" i="19"/>
  <c r="F10" i="2"/>
  <c r="C21" i="19"/>
  <c r="D20" i="19"/>
  <c r="D13" i="19"/>
  <c r="D8" i="19"/>
  <c r="D19" i="19"/>
  <c r="D18" i="19"/>
  <c r="D15" i="19"/>
  <c r="D7" i="19"/>
  <c r="D17" i="19"/>
  <c r="D16" i="19"/>
  <c r="D14" i="19"/>
  <c r="G103" i="19"/>
  <c r="H103" i="19"/>
  <c r="F30" i="2"/>
  <c r="F417" i="19"/>
  <c r="Q35" i="7"/>
  <c r="G417" i="19" s="1"/>
  <c r="G175" i="19"/>
  <c r="H175" i="19"/>
  <c r="G105" i="19"/>
  <c r="H105" i="19"/>
  <c r="F32" i="2"/>
  <c r="G435" i="19"/>
  <c r="Q49" i="7"/>
  <c r="G441" i="19" s="1"/>
  <c r="G104" i="19"/>
  <c r="H104" i="19"/>
  <c r="F31" i="2"/>
  <c r="AM12" i="7"/>
  <c r="AM6" i="7"/>
  <c r="AM11" i="7"/>
  <c r="P20" i="3"/>
  <c r="G101" i="19"/>
  <c r="H101" i="19"/>
  <c r="F28" i="2"/>
  <c r="G177" i="19"/>
  <c r="H177" i="19"/>
  <c r="G26" i="19"/>
  <c r="H26" i="19"/>
  <c r="F7" i="2"/>
  <c r="G254" i="19"/>
  <c r="H254" i="19"/>
  <c r="G36" i="19"/>
  <c r="H36" i="19"/>
  <c r="F17" i="2"/>
  <c r="E367" i="19"/>
  <c r="E173" i="19"/>
  <c r="G209" i="19"/>
  <c r="N69" i="9"/>
  <c r="G109" i="19"/>
  <c r="H109" i="19"/>
  <c r="F36" i="2"/>
  <c r="C339" i="19"/>
  <c r="C151" i="19"/>
  <c r="C25" i="5"/>
  <c r="K6" i="2"/>
  <c r="J6" i="2"/>
  <c r="G30" i="19"/>
  <c r="H30" i="19"/>
  <c r="F11" i="2"/>
  <c r="R15" i="18"/>
  <c r="R17" i="17"/>
  <c r="R19" i="16"/>
  <c r="R24" i="15"/>
  <c r="R37" i="14"/>
  <c r="R20" i="12"/>
  <c r="R27" i="14"/>
  <c r="R16" i="13"/>
  <c r="R8" i="3"/>
  <c r="T11" i="11" s="1"/>
  <c r="G180" i="19"/>
  <c r="H180" i="19"/>
  <c r="G257" i="19"/>
  <c r="H257" i="19"/>
  <c r="G32" i="19"/>
  <c r="H32" i="19"/>
  <c r="F13" i="2"/>
  <c r="G102" i="19"/>
  <c r="H102" i="19"/>
  <c r="F29" i="2"/>
  <c r="F420" i="19"/>
  <c r="Q38" i="7"/>
  <c r="G420" i="19" s="1"/>
  <c r="G37" i="19"/>
  <c r="H37" i="19"/>
  <c r="F18" i="2"/>
  <c r="C93" i="19"/>
  <c r="D87" i="19"/>
  <c r="D85" i="19"/>
  <c r="D89" i="19"/>
  <c r="D86" i="19"/>
  <c r="D90" i="19"/>
  <c r="D88" i="19"/>
  <c r="D92" i="19"/>
  <c r="D91" i="19"/>
  <c r="I52" i="11"/>
  <c r="G21" i="3" s="1"/>
  <c r="G133" i="19"/>
  <c r="E97" i="19"/>
  <c r="O49" i="9"/>
  <c r="D24" i="2"/>
  <c r="F413" i="19"/>
  <c r="Q31" i="7"/>
  <c r="G413" i="19" s="1"/>
  <c r="I57" i="19"/>
  <c r="G3" i="9"/>
  <c r="AM5" i="7"/>
  <c r="AM10" i="7"/>
  <c r="AM15" i="7"/>
  <c r="I27" i="13"/>
  <c r="H30" i="13"/>
  <c r="G25" i="3" s="1"/>
  <c r="F28" i="5"/>
  <c r="F29" i="5" s="1"/>
  <c r="E29" i="5"/>
  <c r="C301" i="19"/>
  <c r="C43" i="2"/>
  <c r="G186" i="19"/>
  <c r="H186" i="19"/>
  <c r="F4" i="9"/>
  <c r="G38" i="19"/>
  <c r="H38" i="19"/>
  <c r="F19" i="2"/>
  <c r="G182" i="19"/>
  <c r="H182" i="19"/>
  <c r="F394" i="19"/>
  <c r="Q24" i="7"/>
  <c r="G394" i="19" s="1"/>
  <c r="AP16" i="7" l="1"/>
  <c r="AO16" i="7"/>
  <c r="AQ11" i="7"/>
  <c r="C32" i="5"/>
  <c r="Q26" i="7"/>
  <c r="G395" i="19" s="1"/>
  <c r="H25" i="25"/>
  <c r="I11" i="25"/>
  <c r="I23" i="25" s="1"/>
  <c r="I11" i="11"/>
  <c r="H18" i="25"/>
  <c r="C39" i="25"/>
  <c r="F14" i="25"/>
  <c r="H22" i="25"/>
  <c r="H19" i="25"/>
  <c r="H23" i="25"/>
  <c r="D39" i="25"/>
  <c r="S15" i="25" s="1"/>
  <c r="F15" i="25"/>
  <c r="S16" i="23"/>
  <c r="T11" i="25"/>
  <c r="G28" i="14"/>
  <c r="S25" i="25"/>
  <c r="S19" i="25"/>
  <c r="S23" i="25"/>
  <c r="S24" i="25"/>
  <c r="S18" i="25"/>
  <c r="S22" i="25"/>
  <c r="G29" i="14"/>
  <c r="H20" i="12"/>
  <c r="H16" i="23"/>
  <c r="G30" i="14"/>
  <c r="G33" i="14"/>
  <c r="C21" i="15"/>
  <c r="G34" i="14"/>
  <c r="G32" i="14"/>
  <c r="G31" i="14"/>
  <c r="F35" i="14"/>
  <c r="D13" i="23"/>
  <c r="F11" i="26" s="1"/>
  <c r="J22" i="2" s="1"/>
  <c r="AQ15" i="7"/>
  <c r="AQ12" i="7"/>
  <c r="AN16" i="7"/>
  <c r="AQ8" i="7"/>
  <c r="AQ10" i="7"/>
  <c r="AQ14" i="7"/>
  <c r="L6" i="2"/>
  <c r="F151" i="19" s="1"/>
  <c r="F3" i="9"/>
  <c r="D38" i="2"/>
  <c r="D20" i="2"/>
  <c r="H281" i="19"/>
  <c r="O87" i="9"/>
  <c r="H33" i="25" s="1"/>
  <c r="K11" i="10"/>
  <c r="G28" i="19"/>
  <c r="H28" i="19"/>
  <c r="F9" i="2"/>
  <c r="AQ5" i="7"/>
  <c r="E111" i="19"/>
  <c r="G147" i="19"/>
  <c r="D339" i="19"/>
  <c r="D151" i="19"/>
  <c r="F367" i="19"/>
  <c r="F395" i="19"/>
  <c r="G245" i="19"/>
  <c r="Q87" i="9"/>
  <c r="G259" i="19" s="1"/>
  <c r="G246" i="19"/>
  <c r="H246" i="19"/>
  <c r="H61" i="19"/>
  <c r="P31" i="9"/>
  <c r="E33" i="25" s="1"/>
  <c r="G99" i="19"/>
  <c r="H99" i="19"/>
  <c r="F26" i="2"/>
  <c r="C302" i="19"/>
  <c r="H133" i="19"/>
  <c r="P49" i="9"/>
  <c r="E36" i="25" s="1"/>
  <c r="E187" i="19"/>
  <c r="G223" i="19"/>
  <c r="H15" i="18"/>
  <c r="H19" i="16"/>
  <c r="H17" i="17"/>
  <c r="H24" i="15"/>
  <c r="H37" i="14"/>
  <c r="H27" i="14"/>
  <c r="H16" i="13"/>
  <c r="L8" i="7"/>
  <c r="H8" i="3"/>
  <c r="S20" i="10"/>
  <c r="D26" i="10"/>
  <c r="T20" i="3"/>
  <c r="J27" i="13"/>
  <c r="I30" i="13"/>
  <c r="H25" i="3" s="1"/>
  <c r="G97" i="19"/>
  <c r="R49" i="9"/>
  <c r="F24" i="2"/>
  <c r="J52" i="11"/>
  <c r="H21" i="3" s="1"/>
  <c r="S15" i="18"/>
  <c r="S27" i="14"/>
  <c r="S16" i="13"/>
  <c r="S17" i="17"/>
  <c r="S19" i="16"/>
  <c r="S37" i="14"/>
  <c r="S24" i="15"/>
  <c r="S20" i="12"/>
  <c r="S8" i="3"/>
  <c r="U11" i="11" s="1"/>
  <c r="E339" i="19"/>
  <c r="E151" i="19"/>
  <c r="H209" i="19"/>
  <c r="O69" i="9"/>
  <c r="H36" i="25" s="1"/>
  <c r="AQ6" i="7"/>
  <c r="AQ7" i="7"/>
  <c r="I20" i="10"/>
  <c r="AQ9" i="7"/>
  <c r="G25" i="19"/>
  <c r="R31" i="9"/>
  <c r="F6" i="2"/>
  <c r="G98" i="19"/>
  <c r="H98" i="19"/>
  <c r="F25" i="2"/>
  <c r="D25" i="5"/>
  <c r="C26" i="5"/>
  <c r="G173" i="19"/>
  <c r="Q69" i="9"/>
  <c r="Q20" i="3"/>
  <c r="G412" i="19"/>
  <c r="Q39" i="7"/>
  <c r="G421" i="19" s="1"/>
  <c r="AQ13" i="7"/>
  <c r="G295" i="19"/>
  <c r="E259" i="19"/>
  <c r="G100" i="19"/>
  <c r="H100" i="19"/>
  <c r="F27" i="2"/>
  <c r="AM16" i="7"/>
  <c r="AQ4" i="7"/>
  <c r="G75" i="19"/>
  <c r="E39" i="19"/>
  <c r="E31" i="5"/>
  <c r="D32" i="5"/>
  <c r="D30" i="18"/>
  <c r="D31" i="18" s="1"/>
  <c r="B35" i="3"/>
  <c r="I10" i="7" l="1"/>
  <c r="D369" i="19" s="1"/>
  <c r="J10" i="7"/>
  <c r="E369" i="19" s="1"/>
  <c r="K10" i="7"/>
  <c r="F369" i="19" s="1"/>
  <c r="H10" i="7"/>
  <c r="C369" i="19" s="1"/>
  <c r="O6" i="2"/>
  <c r="C327" i="19" s="1"/>
  <c r="B12" i="9"/>
  <c r="E12" i="9" s="1"/>
  <c r="I24" i="25"/>
  <c r="I22" i="25"/>
  <c r="I19" i="25"/>
  <c r="I25" i="25"/>
  <c r="I18" i="25"/>
  <c r="J11" i="25"/>
  <c r="J18" i="25" s="1"/>
  <c r="J11" i="11"/>
  <c r="H41" i="25"/>
  <c r="H37" i="25"/>
  <c r="H39" i="25"/>
  <c r="H40" i="25"/>
  <c r="H20" i="25" s="1"/>
  <c r="E34" i="25"/>
  <c r="E35" i="25" s="1"/>
  <c r="E42" i="25"/>
  <c r="E43" i="25" s="1"/>
  <c r="E44" i="25" s="1"/>
  <c r="C40" i="25"/>
  <c r="T14" i="25" s="1"/>
  <c r="G14" i="25"/>
  <c r="E37" i="25"/>
  <c r="E39" i="25"/>
  <c r="E40" i="25"/>
  <c r="H16" i="25" s="1"/>
  <c r="E41" i="25"/>
  <c r="H42" i="25"/>
  <c r="H43" i="25" s="1"/>
  <c r="H44" i="25" s="1"/>
  <c r="H34" i="25"/>
  <c r="H35" i="25" s="1"/>
  <c r="S14" i="25"/>
  <c r="D40" i="25"/>
  <c r="T15" i="25" s="1"/>
  <c r="G15" i="25"/>
  <c r="H28" i="14"/>
  <c r="J19" i="25"/>
  <c r="H30" i="14"/>
  <c r="T19" i="25"/>
  <c r="T24" i="25"/>
  <c r="T25" i="25"/>
  <c r="T18" i="25"/>
  <c r="T23" i="25"/>
  <c r="T22" i="25"/>
  <c r="T16" i="23"/>
  <c r="U11" i="25"/>
  <c r="H33" i="14"/>
  <c r="I20" i="12"/>
  <c r="I16" i="23"/>
  <c r="H32" i="14"/>
  <c r="H31" i="14"/>
  <c r="H34" i="14"/>
  <c r="H29" i="14"/>
  <c r="G35" i="14"/>
  <c r="F13" i="23"/>
  <c r="H11" i="26" s="1"/>
  <c r="L22" i="2" s="1"/>
  <c r="E13" i="23"/>
  <c r="G11" i="26" s="1"/>
  <c r="K22" i="2" s="1"/>
  <c r="F339" i="19"/>
  <c r="R20" i="3"/>
  <c r="S20" i="3"/>
  <c r="G187" i="19"/>
  <c r="H4" i="9"/>
  <c r="I4" i="9" s="1"/>
  <c r="E25" i="5"/>
  <c r="D26" i="5"/>
  <c r="H25" i="19"/>
  <c r="S31" i="9"/>
  <c r="J20" i="10"/>
  <c r="K52" i="11"/>
  <c r="I21" i="3" s="1"/>
  <c r="H295" i="19"/>
  <c r="E30" i="18"/>
  <c r="E31" i="18" s="1"/>
  <c r="C35" i="3"/>
  <c r="H173" i="19"/>
  <c r="R69" i="9"/>
  <c r="G39" i="19"/>
  <c r="H3" i="9"/>
  <c r="F20" i="2"/>
  <c r="H223" i="19"/>
  <c r="T15" i="18"/>
  <c r="T17" i="17"/>
  <c r="T19" i="16"/>
  <c r="T24" i="15"/>
  <c r="T37" i="14"/>
  <c r="T27" i="14"/>
  <c r="T16" i="13"/>
  <c r="T20" i="12"/>
  <c r="T8" i="3"/>
  <c r="V11" i="11" s="1"/>
  <c r="U20" i="3"/>
  <c r="C304" i="19"/>
  <c r="C307" i="19"/>
  <c r="C306" i="19"/>
  <c r="H75" i="19"/>
  <c r="H97" i="19"/>
  <c r="S49" i="9"/>
  <c r="K27" i="13"/>
  <c r="J30" i="13"/>
  <c r="I25" i="3" s="1"/>
  <c r="I17" i="17"/>
  <c r="I24" i="15"/>
  <c r="I27" i="14"/>
  <c r="I16" i="13"/>
  <c r="I15" i="18"/>
  <c r="I19" i="16"/>
  <c r="I37" i="14"/>
  <c r="M8" i="7"/>
  <c r="I8" i="3"/>
  <c r="E32" i="5"/>
  <c r="F31" i="5"/>
  <c r="F32" i="5" s="1"/>
  <c r="AQ16" i="7"/>
  <c r="G111" i="19"/>
  <c r="F38" i="2"/>
  <c r="S21" i="10"/>
  <c r="E17" i="10"/>
  <c r="E26" i="10"/>
  <c r="G367" i="19"/>
  <c r="L10" i="7"/>
  <c r="G369" i="19" s="1"/>
  <c r="H147" i="19"/>
  <c r="H245" i="19"/>
  <c r="R87" i="9"/>
  <c r="L11" i="10"/>
  <c r="D13" i="15"/>
  <c r="F12" i="9" l="1"/>
  <c r="I20" i="25"/>
  <c r="I16" i="25"/>
  <c r="C14" i="3"/>
  <c r="Y14" i="3"/>
  <c r="S14" i="3"/>
  <c r="I14" i="3"/>
  <c r="O14" i="3"/>
  <c r="G14" i="3"/>
  <c r="M14" i="3"/>
  <c r="U14" i="3"/>
  <c r="C12" i="9"/>
  <c r="J22" i="25"/>
  <c r="T20" i="25"/>
  <c r="I28" i="14"/>
  <c r="J14" i="25"/>
  <c r="J23" i="25"/>
  <c r="P26" i="25"/>
  <c r="N15" i="3" s="1"/>
  <c r="J15" i="25"/>
  <c r="J25" i="25"/>
  <c r="J24" i="25"/>
  <c r="D41" i="25"/>
  <c r="I15" i="25" s="1"/>
  <c r="H15" i="25"/>
  <c r="C41" i="25"/>
  <c r="I14" i="25" s="1"/>
  <c r="H14" i="25"/>
  <c r="G16" i="25"/>
  <c r="S16" i="25"/>
  <c r="D26" i="25"/>
  <c r="B15" i="3" s="1"/>
  <c r="E38" i="25"/>
  <c r="J16" i="25" s="1"/>
  <c r="E16" i="25"/>
  <c r="Q16" i="25"/>
  <c r="G20" i="25"/>
  <c r="S20" i="25"/>
  <c r="K11" i="25"/>
  <c r="K14" i="25" s="1"/>
  <c r="K11" i="11"/>
  <c r="T16" i="25"/>
  <c r="H38" i="25"/>
  <c r="J20" i="25" s="1"/>
  <c r="E20" i="25"/>
  <c r="Q20" i="25"/>
  <c r="I33" i="14"/>
  <c r="I30" i="14"/>
  <c r="U16" i="23"/>
  <c r="V11" i="25"/>
  <c r="I34" i="14"/>
  <c r="U25" i="25"/>
  <c r="U20" i="25"/>
  <c r="U19" i="25"/>
  <c r="U23" i="25"/>
  <c r="U16" i="25"/>
  <c r="U18" i="25"/>
  <c r="U22" i="25"/>
  <c r="U24" i="25"/>
  <c r="J20" i="12"/>
  <c r="J16" i="23"/>
  <c r="I31" i="14"/>
  <c r="I29" i="14"/>
  <c r="I32" i="14"/>
  <c r="H35" i="14"/>
  <c r="S22" i="10"/>
  <c r="F17" i="10"/>
  <c r="F26" i="10"/>
  <c r="H367" i="19"/>
  <c r="M10" i="7"/>
  <c r="H369" i="19" s="1"/>
  <c r="H111" i="19"/>
  <c r="Q15" i="10"/>
  <c r="I3" i="9"/>
  <c r="E13" i="15"/>
  <c r="H259" i="19"/>
  <c r="R15" i="10"/>
  <c r="H187" i="19"/>
  <c r="R18" i="10"/>
  <c r="K20" i="10"/>
  <c r="H39" i="19"/>
  <c r="Q18" i="10"/>
  <c r="M11" i="10"/>
  <c r="J15" i="18"/>
  <c r="J17" i="17"/>
  <c r="J24" i="15"/>
  <c r="J37" i="14"/>
  <c r="J19" i="16"/>
  <c r="J27" i="14"/>
  <c r="J16" i="13"/>
  <c r="N8" i="7"/>
  <c r="J8" i="3"/>
  <c r="L27" i="13"/>
  <c r="K30" i="13"/>
  <c r="J25" i="3" s="1"/>
  <c r="V20" i="3"/>
  <c r="U15" i="18"/>
  <c r="U17" i="17"/>
  <c r="U19" i="16"/>
  <c r="U24" i="15"/>
  <c r="U27" i="14"/>
  <c r="U16" i="13"/>
  <c r="U20" i="12"/>
  <c r="U37" i="14"/>
  <c r="U8" i="3"/>
  <c r="W11" i="11" s="1"/>
  <c r="F30" i="18"/>
  <c r="F31" i="18" s="1"/>
  <c r="D35" i="3"/>
  <c r="L52" i="11"/>
  <c r="J21" i="3" s="1"/>
  <c r="E26" i="5"/>
  <c r="F25" i="5"/>
  <c r="F26" i="5" s="1"/>
  <c r="T26" i="25" l="1"/>
  <c r="R15" i="3" s="1"/>
  <c r="G6" i="9"/>
  <c r="U14" i="25"/>
  <c r="G26" i="25"/>
  <c r="E15" i="3" s="1"/>
  <c r="J26" i="25"/>
  <c r="H15" i="3" s="1"/>
  <c r="K18" i="25"/>
  <c r="K23" i="25"/>
  <c r="K22" i="25"/>
  <c r="K19" i="25"/>
  <c r="I26" i="25"/>
  <c r="G15" i="3" s="1"/>
  <c r="G16" i="3" s="1"/>
  <c r="U15" i="25"/>
  <c r="U26" i="25" s="1"/>
  <c r="S15" i="3" s="1"/>
  <c r="S16" i="3" s="1"/>
  <c r="K16" i="25"/>
  <c r="Q26" i="25"/>
  <c r="O15" i="3" s="1"/>
  <c r="O16" i="3" s="1"/>
  <c r="S26" i="25"/>
  <c r="Q15" i="3" s="1"/>
  <c r="K15" i="25"/>
  <c r="K24" i="25"/>
  <c r="K25" i="25"/>
  <c r="F16" i="25"/>
  <c r="R16" i="25"/>
  <c r="H26" i="25"/>
  <c r="F15" i="3" s="1"/>
  <c r="L11" i="25"/>
  <c r="L16" i="25" s="1"/>
  <c r="L11" i="11"/>
  <c r="F20" i="25"/>
  <c r="R20" i="25"/>
  <c r="E26" i="25"/>
  <c r="C15" i="3" s="1"/>
  <c r="C16" i="3" s="1"/>
  <c r="K20" i="25"/>
  <c r="V16" i="25"/>
  <c r="V25" i="25"/>
  <c r="V19" i="25"/>
  <c r="V20" i="25"/>
  <c r="V24" i="25"/>
  <c r="V18" i="25"/>
  <c r="V23" i="25"/>
  <c r="V14" i="25"/>
  <c r="V15" i="25"/>
  <c r="V22" i="25"/>
  <c r="L14" i="25"/>
  <c r="V16" i="23"/>
  <c r="W11" i="25"/>
  <c r="J30" i="14"/>
  <c r="K20" i="12"/>
  <c r="K16" i="23"/>
  <c r="J32" i="14"/>
  <c r="J29" i="14"/>
  <c r="J31" i="14"/>
  <c r="I35" i="14"/>
  <c r="J34" i="14"/>
  <c r="J28" i="14"/>
  <c r="J33" i="14"/>
  <c r="M52" i="11"/>
  <c r="K21" i="3" s="1"/>
  <c r="V15" i="18"/>
  <c r="V17" i="17"/>
  <c r="V19" i="16"/>
  <c r="V24" i="15"/>
  <c r="V37" i="14"/>
  <c r="V27" i="14"/>
  <c r="V16" i="13"/>
  <c r="V20" i="12"/>
  <c r="V8" i="3"/>
  <c r="X11" i="11" s="1"/>
  <c r="M27" i="13"/>
  <c r="L30" i="13"/>
  <c r="K25" i="3" s="1"/>
  <c r="N11" i="10"/>
  <c r="R24" i="10"/>
  <c r="R16" i="10"/>
  <c r="R17" i="10" s="1"/>
  <c r="K15" i="18"/>
  <c r="K17" i="17"/>
  <c r="K27" i="14"/>
  <c r="K16" i="13"/>
  <c r="K19" i="16"/>
  <c r="K24" i="15"/>
  <c r="K37" i="14"/>
  <c r="O8" i="7"/>
  <c r="K8" i="3"/>
  <c r="M11" i="11" s="1"/>
  <c r="L20" i="10"/>
  <c r="R19" i="10"/>
  <c r="Q24" i="10"/>
  <c r="Q16" i="10"/>
  <c r="I367" i="19"/>
  <c r="N10" i="7"/>
  <c r="I369" i="19" s="1"/>
  <c r="Q19" i="10"/>
  <c r="G30" i="18"/>
  <c r="G31" i="18" s="1"/>
  <c r="E35" i="3"/>
  <c r="W20" i="3"/>
  <c r="D16" i="15"/>
  <c r="D21" i="15" s="1"/>
  <c r="F13" i="15"/>
  <c r="S23" i="10"/>
  <c r="L17" i="10" s="1"/>
  <c r="G17" i="10"/>
  <c r="G26" i="10"/>
  <c r="I9" i="2" l="1"/>
  <c r="C34" i="5"/>
  <c r="C35" i="5" s="1"/>
  <c r="D10" i="9"/>
  <c r="H12" i="9" s="1"/>
  <c r="I12" i="9" s="1"/>
  <c r="O15" i="2"/>
  <c r="C336" i="19" s="1"/>
  <c r="O395" i="19"/>
  <c r="L18" i="25"/>
  <c r="L22" i="25"/>
  <c r="L23" i="25"/>
  <c r="L15" i="25"/>
  <c r="L19" i="25"/>
  <c r="L25" i="25"/>
  <c r="L24" i="25"/>
  <c r="K26" i="25"/>
  <c r="I15" i="3" s="1"/>
  <c r="I16" i="3" s="1"/>
  <c r="F26" i="25"/>
  <c r="D15" i="3" s="1"/>
  <c r="K30" i="14"/>
  <c r="L20" i="25"/>
  <c r="R26" i="25"/>
  <c r="P15" i="3" s="1"/>
  <c r="V26" i="25"/>
  <c r="T15" i="3" s="1"/>
  <c r="W16" i="23"/>
  <c r="X11" i="25"/>
  <c r="L16" i="23"/>
  <c r="M11" i="25"/>
  <c r="W20" i="25"/>
  <c r="W24" i="25"/>
  <c r="W25" i="25"/>
  <c r="W19" i="25"/>
  <c r="W14" i="25"/>
  <c r="W18" i="25"/>
  <c r="W16" i="25"/>
  <c r="W23" i="25"/>
  <c r="W15" i="25"/>
  <c r="W22" i="25"/>
  <c r="K29" i="14"/>
  <c r="K28" i="14"/>
  <c r="K34" i="14"/>
  <c r="K32" i="14"/>
  <c r="K33" i="14"/>
  <c r="K31" i="14"/>
  <c r="J35" i="14"/>
  <c r="S24" i="10"/>
  <c r="M17" i="10" s="1"/>
  <c r="H17" i="10"/>
  <c r="H26" i="10"/>
  <c r="E16" i="15"/>
  <c r="E21" i="15" s="1"/>
  <c r="G22" i="26" s="1"/>
  <c r="O21" i="12"/>
  <c r="R25" i="10"/>
  <c r="M15" i="10"/>
  <c r="H30" i="18"/>
  <c r="H31" i="18" s="1"/>
  <c r="F35" i="3"/>
  <c r="Q20" i="10"/>
  <c r="I22" i="10" s="1"/>
  <c r="U21" i="12" s="1"/>
  <c r="U33" i="12" s="1"/>
  <c r="T22" i="3" s="1"/>
  <c r="D22" i="10"/>
  <c r="P21" i="12" s="1"/>
  <c r="P33" i="12" s="1"/>
  <c r="O22" i="3" s="1"/>
  <c r="C27" i="10"/>
  <c r="N9" i="3" s="1"/>
  <c r="N27" i="13"/>
  <c r="M30" i="13"/>
  <c r="L25" i="3" s="1"/>
  <c r="N52" i="11"/>
  <c r="L21" i="3" s="1"/>
  <c r="Q17" i="10"/>
  <c r="Q26" i="10" s="1"/>
  <c r="Q25" i="10"/>
  <c r="R20" i="10"/>
  <c r="I24" i="10" s="1"/>
  <c r="D24" i="10"/>
  <c r="M20" i="10"/>
  <c r="L26" i="10"/>
  <c r="L15" i="18"/>
  <c r="L19" i="16"/>
  <c r="L24" i="15"/>
  <c r="L37" i="14"/>
  <c r="L27" i="14"/>
  <c r="L16" i="13"/>
  <c r="L17" i="17"/>
  <c r="L20" i="12"/>
  <c r="P8" i="7"/>
  <c r="L8" i="3"/>
  <c r="N11" i="11" s="1"/>
  <c r="N15" i="10"/>
  <c r="W15" i="18"/>
  <c r="W27" i="14"/>
  <c r="W16" i="13"/>
  <c r="W17" i="17"/>
  <c r="W19" i="16"/>
  <c r="W24" i="15"/>
  <c r="W37" i="14"/>
  <c r="W20" i="12"/>
  <c r="W8" i="3"/>
  <c r="Y11" i="11" s="1"/>
  <c r="I13" i="10"/>
  <c r="I21" i="12" s="1"/>
  <c r="I33" i="12" s="1"/>
  <c r="H22" i="3" s="1"/>
  <c r="J367" i="19"/>
  <c r="O10" i="7"/>
  <c r="J369" i="19" s="1"/>
  <c r="M13" i="10"/>
  <c r="M21" i="12" s="1"/>
  <c r="M33" i="12" s="1"/>
  <c r="L22" i="3" s="1"/>
  <c r="K9" i="2" l="1"/>
  <c r="E342" i="19" s="1"/>
  <c r="J9" i="2"/>
  <c r="D342" i="19" s="1"/>
  <c r="I15" i="10"/>
  <c r="F6" i="9"/>
  <c r="F7" i="9" s="1"/>
  <c r="U388" i="19"/>
  <c r="D34" i="5"/>
  <c r="D35" i="5" s="1"/>
  <c r="C36" i="5"/>
  <c r="P395" i="19"/>
  <c r="Q395" i="19"/>
  <c r="L9" i="2"/>
  <c r="F342" i="19" s="1"/>
  <c r="C342" i="19"/>
  <c r="O13" i="2"/>
  <c r="C334" i="19" s="1"/>
  <c r="C10" i="9"/>
  <c r="L26" i="25"/>
  <c r="J15" i="3" s="1"/>
  <c r="L30" i="14"/>
  <c r="W26" i="25"/>
  <c r="U15" i="3" s="1"/>
  <c r="U16" i="3" s="1"/>
  <c r="M16" i="23"/>
  <c r="N11" i="25"/>
  <c r="X16" i="25"/>
  <c r="X20" i="25"/>
  <c r="X14" i="25"/>
  <c r="X24" i="25"/>
  <c r="X25" i="25"/>
  <c r="X19" i="25"/>
  <c r="X15" i="25"/>
  <c r="X18" i="25"/>
  <c r="X23" i="25"/>
  <c r="X22" i="25"/>
  <c r="X16" i="23"/>
  <c r="Y11" i="25"/>
  <c r="M16" i="25"/>
  <c r="M23" i="25"/>
  <c r="M19" i="25"/>
  <c r="M15" i="25"/>
  <c r="M24" i="25"/>
  <c r="M20" i="25"/>
  <c r="M22" i="25"/>
  <c r="M25" i="25"/>
  <c r="M18" i="25"/>
  <c r="M14" i="25"/>
  <c r="L31" i="14"/>
  <c r="L32" i="14"/>
  <c r="L34" i="14"/>
  <c r="L33" i="14"/>
  <c r="L28" i="14"/>
  <c r="L29" i="14"/>
  <c r="K35" i="14"/>
  <c r="N13" i="10"/>
  <c r="N21" i="12" s="1"/>
  <c r="N33" i="12" s="1"/>
  <c r="M22" i="3" s="1"/>
  <c r="D27" i="10"/>
  <c r="O9" i="3" s="1"/>
  <c r="M18" i="10"/>
  <c r="L9" i="3" s="1"/>
  <c r="X15" i="18"/>
  <c r="X17" i="17"/>
  <c r="X19" i="16"/>
  <c r="X24" i="15"/>
  <c r="X37" i="14"/>
  <c r="X20" i="12"/>
  <c r="X27" i="14"/>
  <c r="X16" i="13"/>
  <c r="X8" i="3"/>
  <c r="Z11" i="11" s="1"/>
  <c r="M24" i="15"/>
  <c r="M15" i="18"/>
  <c r="M17" i="17"/>
  <c r="M27" i="14"/>
  <c r="M16" i="13"/>
  <c r="M20" i="12"/>
  <c r="M19" i="16"/>
  <c r="M37" i="14"/>
  <c r="Q8" i="7"/>
  <c r="M8" i="3"/>
  <c r="O11" i="11" s="1"/>
  <c r="M26" i="10"/>
  <c r="M22" i="10"/>
  <c r="Y21" i="12" s="1"/>
  <c r="Y33" i="12" s="1"/>
  <c r="X22" i="3" s="1"/>
  <c r="N20" i="10"/>
  <c r="M24" i="10"/>
  <c r="R21" i="10"/>
  <c r="J24" i="10" s="1"/>
  <c r="E15" i="10"/>
  <c r="E24" i="10"/>
  <c r="O27" i="13"/>
  <c r="N30" i="13"/>
  <c r="M25" i="3" s="1"/>
  <c r="I30" i="18"/>
  <c r="I31" i="18" s="1"/>
  <c r="G35" i="3"/>
  <c r="F16" i="15"/>
  <c r="K367" i="19"/>
  <c r="P10" i="7"/>
  <c r="K369" i="19" s="1"/>
  <c r="Q21" i="10"/>
  <c r="J22" i="10" s="1"/>
  <c r="V21" i="12" s="1"/>
  <c r="V33" i="12" s="1"/>
  <c r="U22" i="3" s="1"/>
  <c r="E13" i="10"/>
  <c r="E22" i="10"/>
  <c r="Q21" i="12" s="1"/>
  <c r="Q33" i="12" s="1"/>
  <c r="P22" i="3" s="1"/>
  <c r="R26" i="10"/>
  <c r="O33" i="12"/>
  <c r="N22" i="3" s="1"/>
  <c r="S25" i="10"/>
  <c r="N17" i="10" s="1"/>
  <c r="I17" i="10"/>
  <c r="I26" i="10"/>
  <c r="O52" i="11"/>
  <c r="J13" i="10" l="1"/>
  <c r="J21" i="12" s="1"/>
  <c r="J33" i="12" s="1"/>
  <c r="I22" i="3" s="1"/>
  <c r="J15" i="10"/>
  <c r="I18" i="10"/>
  <c r="H9" i="3" s="1"/>
  <c r="O14" i="2"/>
  <c r="C335" i="19" s="1"/>
  <c r="F63" i="7"/>
  <c r="D36" i="5"/>
  <c r="E34" i="5"/>
  <c r="E35" i="5" s="1"/>
  <c r="H6" i="9"/>
  <c r="I6" i="9" s="1"/>
  <c r="X14" i="3"/>
  <c r="L14" i="3"/>
  <c r="R14" i="3"/>
  <c r="R16" i="3" s="1"/>
  <c r="P14" i="3"/>
  <c r="P16" i="3" s="1"/>
  <c r="D14" i="3"/>
  <c r="D16" i="3" s="1"/>
  <c r="F14" i="3"/>
  <c r="F16" i="3" s="1"/>
  <c r="V14" i="3"/>
  <c r="J14" i="3"/>
  <c r="J16" i="3" s="1"/>
  <c r="M30" i="14"/>
  <c r="N16" i="23"/>
  <c r="O11" i="25"/>
  <c r="Y24" i="25"/>
  <c r="Y16" i="25"/>
  <c r="Y22" i="25"/>
  <c r="Y19" i="25"/>
  <c r="Y15" i="25"/>
  <c r="Y23" i="25"/>
  <c r="Y18" i="25"/>
  <c r="Y25" i="25"/>
  <c r="Y14" i="25"/>
  <c r="Y20" i="25"/>
  <c r="Y16" i="23"/>
  <c r="Z11" i="25"/>
  <c r="N18" i="25"/>
  <c r="N25" i="25"/>
  <c r="N19" i="25"/>
  <c r="N14" i="25"/>
  <c r="N23" i="25"/>
  <c r="N16" i="25"/>
  <c r="N24" i="25"/>
  <c r="N22" i="25"/>
  <c r="N15" i="25"/>
  <c r="N20" i="25"/>
  <c r="X26" i="25"/>
  <c r="V15" i="3" s="1"/>
  <c r="M26" i="25"/>
  <c r="K15" i="3" s="1"/>
  <c r="M33" i="14"/>
  <c r="F21" i="15"/>
  <c r="H22" i="26" s="1"/>
  <c r="M29" i="14"/>
  <c r="M32" i="14"/>
  <c r="M34" i="14"/>
  <c r="M28" i="14"/>
  <c r="M31" i="14"/>
  <c r="L35" i="14"/>
  <c r="N18" i="10"/>
  <c r="M9" i="3" s="1"/>
  <c r="P52" i="11"/>
  <c r="P27" i="13"/>
  <c r="O30" i="13"/>
  <c r="N25" i="3" s="1"/>
  <c r="C13" i="13"/>
  <c r="E27" i="26" s="1"/>
  <c r="N15" i="18"/>
  <c r="N17" i="17"/>
  <c r="N24" i="15"/>
  <c r="N37" i="14"/>
  <c r="N19" i="16"/>
  <c r="N27" i="14"/>
  <c r="N16" i="13"/>
  <c r="N20" i="12"/>
  <c r="R8" i="7"/>
  <c r="Y17" i="17"/>
  <c r="Y19" i="16"/>
  <c r="Y24" i="15"/>
  <c r="Y27" i="14"/>
  <c r="Y16" i="13"/>
  <c r="Y37" i="14"/>
  <c r="Y20" i="12"/>
  <c r="Y15" i="18"/>
  <c r="Y8" i="3"/>
  <c r="AA11" i="11" s="1"/>
  <c r="I27" i="10"/>
  <c r="T9" i="3" s="1"/>
  <c r="J30" i="18"/>
  <c r="J31" i="18" s="1"/>
  <c r="H35" i="3"/>
  <c r="E27" i="10"/>
  <c r="P9" i="3" s="1"/>
  <c r="N26" i="10"/>
  <c r="N22" i="10"/>
  <c r="Z21" i="12" s="1"/>
  <c r="Z33" i="12" s="1"/>
  <c r="Y22" i="3" s="1"/>
  <c r="N24" i="10"/>
  <c r="L367" i="19"/>
  <c r="Q10" i="7"/>
  <c r="L369" i="19" s="1"/>
  <c r="E21" i="12"/>
  <c r="E18" i="10"/>
  <c r="D9" i="3" s="1"/>
  <c r="M21" i="3"/>
  <c r="S26" i="10"/>
  <c r="J17" i="10"/>
  <c r="J18" i="10" s="1"/>
  <c r="I9" i="3" s="1"/>
  <c r="J26" i="10"/>
  <c r="J27" i="10" s="1"/>
  <c r="U9" i="3" s="1"/>
  <c r="Q22" i="10"/>
  <c r="F13" i="10"/>
  <c r="F21" i="12" s="1"/>
  <c r="F33" i="12" s="1"/>
  <c r="E22" i="3" s="1"/>
  <c r="F22" i="10"/>
  <c r="R21" i="12" s="1"/>
  <c r="R22" i="10"/>
  <c r="K15" i="10" s="1"/>
  <c r="F15" i="10"/>
  <c r="F24" i="10"/>
  <c r="M27" i="10"/>
  <c r="X9" i="3" s="1"/>
  <c r="G63" i="7" l="1"/>
  <c r="D477" i="19" s="1"/>
  <c r="F64" i="7"/>
  <c r="G64" i="7" s="1"/>
  <c r="K24" i="10"/>
  <c r="K22" i="10"/>
  <c r="W21" i="12" s="1"/>
  <c r="W33" i="12" s="1"/>
  <c r="V22" i="3" s="1"/>
  <c r="K13" i="10"/>
  <c r="K21" i="12" s="1"/>
  <c r="K33" i="12" s="1"/>
  <c r="J22" i="3" s="1"/>
  <c r="N31" i="10"/>
  <c r="C33" i="10" s="1"/>
  <c r="N10" i="3" s="1"/>
  <c r="N12" i="3" s="1"/>
  <c r="I31" i="10"/>
  <c r="H10" i="3" s="1"/>
  <c r="H12" i="3" s="1"/>
  <c r="K31" i="10"/>
  <c r="J10" i="3" s="1"/>
  <c r="J31" i="10"/>
  <c r="I10" i="3" s="1"/>
  <c r="I12" i="3" s="1"/>
  <c r="M31" i="10"/>
  <c r="L10" i="3" s="1"/>
  <c r="L12" i="3" s="1"/>
  <c r="L31" i="10"/>
  <c r="K10" i="3" s="1"/>
  <c r="C477" i="19"/>
  <c r="I7" i="9"/>
  <c r="H7" i="9"/>
  <c r="O9" i="2"/>
  <c r="C330" i="19" s="1"/>
  <c r="E10" i="9"/>
  <c r="I10" i="9" s="1"/>
  <c r="F34" i="5"/>
  <c r="E36" i="5"/>
  <c r="V16" i="3"/>
  <c r="N33" i="14"/>
  <c r="O33" i="14" s="1"/>
  <c r="Y26" i="25"/>
  <c r="W15" i="3" s="1"/>
  <c r="N26" i="25"/>
  <c r="L15" i="3" s="1"/>
  <c r="L16" i="3" s="1"/>
  <c r="Z24" i="25"/>
  <c r="Z19" i="25"/>
  <c r="Z16" i="25"/>
  <c r="Z20" i="25"/>
  <c r="Z23" i="25"/>
  <c r="Z18" i="25"/>
  <c r="Z22" i="25"/>
  <c r="Z25" i="25"/>
  <c r="Z14" i="25"/>
  <c r="Z15" i="25"/>
  <c r="O25" i="25"/>
  <c r="O19" i="25"/>
  <c r="O23" i="25"/>
  <c r="O24" i="25"/>
  <c r="O18" i="25"/>
  <c r="O16" i="25"/>
  <c r="O14" i="25"/>
  <c r="O22" i="25"/>
  <c r="O20" i="25"/>
  <c r="O15" i="25"/>
  <c r="Z16" i="23"/>
  <c r="AA11" i="25"/>
  <c r="N31" i="14"/>
  <c r="N32" i="14"/>
  <c r="O32" i="14" s="1"/>
  <c r="P32" i="14" s="1"/>
  <c r="Q32" i="14" s="1"/>
  <c r="R32" i="14" s="1"/>
  <c r="S32" i="14" s="1"/>
  <c r="T32" i="14" s="1"/>
  <c r="U32" i="14" s="1"/>
  <c r="V32" i="14" s="1"/>
  <c r="W32" i="14" s="1"/>
  <c r="X32" i="14" s="1"/>
  <c r="Y32" i="14" s="1"/>
  <c r="N28" i="14"/>
  <c r="O28" i="14" s="1"/>
  <c r="N29" i="14"/>
  <c r="N34" i="14"/>
  <c r="N30" i="14"/>
  <c r="M35" i="14"/>
  <c r="L9" i="7"/>
  <c r="O9" i="7"/>
  <c r="B464" i="19" a="1"/>
  <c r="R9" i="7"/>
  <c r="Q9" i="7"/>
  <c r="L368" i="19" s="1"/>
  <c r="K9" i="7"/>
  <c r="I9" i="7"/>
  <c r="C494" i="19"/>
  <c r="D493" i="19"/>
  <c r="J9" i="7"/>
  <c r="M9" i="7"/>
  <c r="N9" i="7"/>
  <c r="H9" i="7"/>
  <c r="N27" i="10"/>
  <c r="Y9" i="3" s="1"/>
  <c r="D12" i="3"/>
  <c r="E33" i="12"/>
  <c r="D22" i="3" s="1"/>
  <c r="Z15" i="18"/>
  <c r="Z17" i="17"/>
  <c r="Z19" i="16"/>
  <c r="Z24" i="15"/>
  <c r="Z37" i="14"/>
  <c r="Z20" i="12"/>
  <c r="Z27" i="14"/>
  <c r="Z16" i="13"/>
  <c r="F27" i="10"/>
  <c r="Q9" i="3" s="1"/>
  <c r="F18" i="10"/>
  <c r="E9" i="3" s="1"/>
  <c r="E12" i="3" s="1"/>
  <c r="R33" i="12"/>
  <c r="Q22" i="3" s="1"/>
  <c r="K30" i="18"/>
  <c r="K31" i="18" s="1"/>
  <c r="I35" i="3"/>
  <c r="R23" i="10"/>
  <c r="G15" i="10"/>
  <c r="G24" i="10"/>
  <c r="K17" i="10"/>
  <c r="K26" i="10"/>
  <c r="Q52" i="11"/>
  <c r="O21" i="3" s="1"/>
  <c r="Q23" i="10"/>
  <c r="G13" i="10"/>
  <c r="G21" i="12" s="1"/>
  <c r="G33" i="12" s="1"/>
  <c r="F22" i="3" s="1"/>
  <c r="G22" i="10"/>
  <c r="S21" i="12" s="1"/>
  <c r="S33" i="12" s="1"/>
  <c r="R22" i="3" s="1"/>
  <c r="C358" i="19"/>
  <c r="M367" i="19"/>
  <c r="R10" i="7"/>
  <c r="M369" i="19" s="1"/>
  <c r="Q27" i="13"/>
  <c r="P30" i="13"/>
  <c r="O25" i="3" s="1"/>
  <c r="N21" i="3"/>
  <c r="K27" i="10" l="1"/>
  <c r="V9" i="3" s="1"/>
  <c r="B14" i="3"/>
  <c r="N14" i="3"/>
  <c r="F35" i="5"/>
  <c r="F36" i="5" s="1"/>
  <c r="D7" i="10"/>
  <c r="E10" i="26" s="1"/>
  <c r="M10" i="3"/>
  <c r="M12" i="3" s="1"/>
  <c r="D33" i="10"/>
  <c r="E33" i="10" s="1"/>
  <c r="L15" i="10"/>
  <c r="L24" i="10"/>
  <c r="K18" i="10"/>
  <c r="J9" i="3" s="1"/>
  <c r="J12" i="3" s="1"/>
  <c r="L13" i="10"/>
  <c r="L22" i="10"/>
  <c r="K14" i="3"/>
  <c r="K16" i="3" s="1"/>
  <c r="T14" i="3"/>
  <c r="T16" i="3" s="1"/>
  <c r="W14" i="3"/>
  <c r="W16" i="3" s="1"/>
  <c r="Q14" i="3"/>
  <c r="Q16" i="3" s="1"/>
  <c r="H14" i="3"/>
  <c r="H16" i="3" s="1"/>
  <c r="E14" i="3"/>
  <c r="E16" i="3" s="1"/>
  <c r="D478" i="19"/>
  <c r="C478" i="19"/>
  <c r="F67" i="7"/>
  <c r="G67" i="7" s="1"/>
  <c r="Z32" i="14"/>
  <c r="D9" i="14" s="1"/>
  <c r="E9" i="14" s="1"/>
  <c r="F9" i="14" s="1"/>
  <c r="C10" i="14"/>
  <c r="D6" i="25"/>
  <c r="O26" i="25"/>
  <c r="M15" i="3" s="1"/>
  <c r="M16" i="3" s="1"/>
  <c r="Z26" i="25"/>
  <c r="X15" i="3" s="1"/>
  <c r="X16" i="3" s="1"/>
  <c r="D5" i="25"/>
  <c r="AA22" i="25"/>
  <c r="AA16" i="25"/>
  <c r="AA24" i="25"/>
  <c r="AA25" i="25"/>
  <c r="AA20" i="25"/>
  <c r="AA19" i="25"/>
  <c r="AA14" i="25"/>
  <c r="AA23" i="25"/>
  <c r="AA18" i="25"/>
  <c r="AA15" i="25"/>
  <c r="D7" i="25"/>
  <c r="O30" i="14"/>
  <c r="C7" i="14"/>
  <c r="C501" i="19" s="1"/>
  <c r="O34" i="14"/>
  <c r="C11" i="14"/>
  <c r="O29" i="14"/>
  <c r="C6" i="14"/>
  <c r="C9" i="14"/>
  <c r="C503" i="19" s="1"/>
  <c r="O31" i="14"/>
  <c r="C8" i="14"/>
  <c r="P33" i="14"/>
  <c r="Q33" i="14" s="1"/>
  <c r="R33" i="14" s="1"/>
  <c r="S33" i="14" s="1"/>
  <c r="T33" i="14" s="1"/>
  <c r="U33" i="14" s="1"/>
  <c r="V33" i="14" s="1"/>
  <c r="W33" i="14" s="1"/>
  <c r="X33" i="14" s="1"/>
  <c r="Y33" i="14" s="1"/>
  <c r="Z33" i="14" s="1"/>
  <c r="D10" i="14" s="1"/>
  <c r="E10" i="14" s="1"/>
  <c r="F10" i="14" s="1"/>
  <c r="P28" i="14"/>
  <c r="C5" i="14"/>
  <c r="C499" i="19" s="1"/>
  <c r="N35" i="14"/>
  <c r="I368" i="19"/>
  <c r="H368" i="19"/>
  <c r="B465" i="19" a="1"/>
  <c r="B464" i="19"/>
  <c r="H464" i="19"/>
  <c r="D464" i="19"/>
  <c r="M464" i="19"/>
  <c r="K464" i="19"/>
  <c r="N464" i="19"/>
  <c r="J464" i="19"/>
  <c r="E464" i="19"/>
  <c r="C464" i="19"/>
  <c r="L464" i="19"/>
  <c r="I464" i="19"/>
  <c r="G464" i="19"/>
  <c r="F464" i="19"/>
  <c r="C370" i="19"/>
  <c r="D368" i="19"/>
  <c r="E368" i="19"/>
  <c r="D495" i="19"/>
  <c r="F368" i="19"/>
  <c r="C368" i="19"/>
  <c r="J368" i="19"/>
  <c r="G368" i="19"/>
  <c r="D6" i="10"/>
  <c r="I14" i="2" s="1"/>
  <c r="E6" i="10"/>
  <c r="F6" i="10" s="1"/>
  <c r="R27" i="13"/>
  <c r="Q30" i="13"/>
  <c r="P25" i="3" s="1"/>
  <c r="M368" i="19"/>
  <c r="H15" i="10"/>
  <c r="H24" i="10"/>
  <c r="R52" i="11"/>
  <c r="G27" i="10"/>
  <c r="R9" i="3" s="1"/>
  <c r="H13" i="10"/>
  <c r="H21" i="12" s="1"/>
  <c r="H33" i="12" s="1"/>
  <c r="G22" i="3" s="1"/>
  <c r="H22" i="10"/>
  <c r="T21" i="12" s="1"/>
  <c r="T33" i="12" s="1"/>
  <c r="S22" i="3" s="1"/>
  <c r="G18" i="10"/>
  <c r="F9" i="3" s="1"/>
  <c r="F12" i="3" s="1"/>
  <c r="L30" i="18"/>
  <c r="L31" i="18" s="1"/>
  <c r="J35" i="3"/>
  <c r="I21" i="2" l="1"/>
  <c r="E12" i="26"/>
  <c r="I15" i="2"/>
  <c r="D529" i="19" s="1"/>
  <c r="E5" i="10"/>
  <c r="F5" i="10" s="1"/>
  <c r="O10" i="3"/>
  <c r="O12" i="3" s="1"/>
  <c r="D5" i="10"/>
  <c r="I13" i="2" s="1"/>
  <c r="X21" i="12"/>
  <c r="X33" i="12" s="1"/>
  <c r="W22" i="3" s="1"/>
  <c r="L27" i="10"/>
  <c r="W9" i="3" s="1"/>
  <c r="L21" i="12"/>
  <c r="L33" i="12" s="1"/>
  <c r="K22" i="3" s="1"/>
  <c r="L18" i="10"/>
  <c r="K9" i="3" s="1"/>
  <c r="K12" i="3" s="1"/>
  <c r="C481" i="19"/>
  <c r="D481" i="19"/>
  <c r="F74" i="7"/>
  <c r="G74" i="7" s="1"/>
  <c r="B16" i="3"/>
  <c r="E15" i="26"/>
  <c r="N16" i="3"/>
  <c r="F15" i="26"/>
  <c r="G15" i="26" s="1"/>
  <c r="H15" i="26" s="1"/>
  <c r="F33" i="10"/>
  <c r="P10" i="3"/>
  <c r="P12" i="3" s="1"/>
  <c r="D8" i="25"/>
  <c r="E16" i="26" s="1"/>
  <c r="O35" i="14"/>
  <c r="N28" i="3" s="1"/>
  <c r="E6" i="25"/>
  <c r="F6" i="25" s="1"/>
  <c r="G6" i="25" s="1"/>
  <c r="E7" i="25"/>
  <c r="F7" i="25" s="1"/>
  <c r="G7" i="25" s="1"/>
  <c r="AA26" i="25"/>
  <c r="Y15" i="3" s="1"/>
  <c r="Y16" i="3" s="1"/>
  <c r="E5" i="25"/>
  <c r="P34" i="14"/>
  <c r="Q34" i="14" s="1"/>
  <c r="R34" i="14" s="1"/>
  <c r="S34" i="14" s="1"/>
  <c r="T34" i="14" s="1"/>
  <c r="U34" i="14" s="1"/>
  <c r="V34" i="14" s="1"/>
  <c r="W34" i="14" s="1"/>
  <c r="X34" i="14" s="1"/>
  <c r="Y34" i="14" s="1"/>
  <c r="Z34" i="14" s="1"/>
  <c r="P31" i="14"/>
  <c r="Q31" i="14" s="1"/>
  <c r="R31" i="14" s="1"/>
  <c r="S31" i="14" s="1"/>
  <c r="T31" i="14" s="1"/>
  <c r="U31" i="14" s="1"/>
  <c r="V31" i="14" s="1"/>
  <c r="W31" i="14" s="1"/>
  <c r="X31" i="14" s="1"/>
  <c r="Y31" i="14" s="1"/>
  <c r="Z31" i="14" s="1"/>
  <c r="P29" i="14"/>
  <c r="Q29" i="14" s="1"/>
  <c r="R29" i="14" s="1"/>
  <c r="S29" i="14" s="1"/>
  <c r="T29" i="14" s="1"/>
  <c r="U29" i="14" s="1"/>
  <c r="V29" i="14" s="1"/>
  <c r="W29" i="14" s="1"/>
  <c r="X29" i="14" s="1"/>
  <c r="Y29" i="14" s="1"/>
  <c r="Z29" i="14" s="1"/>
  <c r="P30" i="14"/>
  <c r="Q30" i="14" s="1"/>
  <c r="R30" i="14" s="1"/>
  <c r="S30" i="14" s="1"/>
  <c r="T30" i="14" s="1"/>
  <c r="U30" i="14" s="1"/>
  <c r="V30" i="14" s="1"/>
  <c r="W30" i="14" s="1"/>
  <c r="X30" i="14" s="1"/>
  <c r="Y30" i="14" s="1"/>
  <c r="Z30" i="14" s="1"/>
  <c r="Q28" i="14"/>
  <c r="C465" i="19"/>
  <c r="B465" i="19"/>
  <c r="F465" i="19"/>
  <c r="G465" i="19"/>
  <c r="N465" i="19"/>
  <c r="M465" i="19"/>
  <c r="J465" i="19"/>
  <c r="L465" i="19"/>
  <c r="K465" i="19"/>
  <c r="I465" i="19"/>
  <c r="H465" i="19"/>
  <c r="D465" i="19"/>
  <c r="E465" i="19"/>
  <c r="B466" i="19" a="1"/>
  <c r="AJ16" i="7"/>
  <c r="D503" i="19"/>
  <c r="J14" i="2"/>
  <c r="D4" i="10"/>
  <c r="H27" i="10"/>
  <c r="S9" i="3" s="1"/>
  <c r="M30" i="18"/>
  <c r="M31" i="18" s="1"/>
  <c r="K35" i="3"/>
  <c r="P21" i="3"/>
  <c r="H18" i="10"/>
  <c r="G9" i="3" s="1"/>
  <c r="G12" i="3" s="1"/>
  <c r="S52" i="11"/>
  <c r="Q21" i="3" s="1"/>
  <c r="G6" i="10"/>
  <c r="L14" i="2" s="1"/>
  <c r="K14" i="2"/>
  <c r="E4" i="10"/>
  <c r="S27" i="13"/>
  <c r="R30" i="13"/>
  <c r="Q25" i="3" s="1"/>
  <c r="D5" i="12" l="1"/>
  <c r="E5" i="12" s="1"/>
  <c r="C5" i="12"/>
  <c r="C17" i="12" s="1"/>
  <c r="E24" i="26" s="1"/>
  <c r="J13" i="2"/>
  <c r="F9" i="26"/>
  <c r="J20" i="2" s="1"/>
  <c r="E9" i="26"/>
  <c r="I20" i="2" s="1"/>
  <c r="D488" i="19"/>
  <c r="F79" i="7"/>
  <c r="K82" i="7"/>
  <c r="C488" i="19"/>
  <c r="F76" i="7"/>
  <c r="E17" i="26"/>
  <c r="I25" i="2" s="1"/>
  <c r="G33" i="10"/>
  <c r="Q10" i="3"/>
  <c r="Q12" i="3" s="1"/>
  <c r="D8" i="14"/>
  <c r="E8" i="14" s="1"/>
  <c r="D7" i="14"/>
  <c r="E7" i="14" s="1"/>
  <c r="F7" i="14" s="1"/>
  <c r="F501" i="19" s="1"/>
  <c r="P35" i="14"/>
  <c r="O28" i="3" s="1"/>
  <c r="D11" i="14"/>
  <c r="E11" i="14" s="1"/>
  <c r="F11" i="14" s="1"/>
  <c r="F5" i="25"/>
  <c r="E8" i="25"/>
  <c r="D6" i="14"/>
  <c r="R28" i="14"/>
  <c r="Q35" i="14"/>
  <c r="P28" i="3" s="1"/>
  <c r="AL16" i="7"/>
  <c r="P9" i="7"/>
  <c r="I466" i="19"/>
  <c r="G466" i="19"/>
  <c r="J466" i="19"/>
  <c r="F466" i="19"/>
  <c r="E466" i="19"/>
  <c r="C466" i="19"/>
  <c r="H466" i="19"/>
  <c r="M466" i="19"/>
  <c r="D466" i="19"/>
  <c r="B466" i="19"/>
  <c r="L466" i="19"/>
  <c r="N466" i="19"/>
  <c r="K466" i="19"/>
  <c r="F503" i="19"/>
  <c r="E503" i="19"/>
  <c r="G5" i="10"/>
  <c r="L13" i="2" s="1"/>
  <c r="K13" i="2"/>
  <c r="N30" i="18"/>
  <c r="N31" i="18" s="1"/>
  <c r="L35" i="3"/>
  <c r="T27" i="13"/>
  <c r="S30" i="13"/>
  <c r="R25" i="3" s="1"/>
  <c r="F4" i="10"/>
  <c r="G9" i="26" s="1"/>
  <c r="J12" i="2"/>
  <c r="T52" i="11"/>
  <c r="R21" i="3" s="1"/>
  <c r="D8" i="10"/>
  <c r="I16" i="2" s="1"/>
  <c r="I12" i="2"/>
  <c r="D17" i="12" l="1"/>
  <c r="F24" i="26" s="1"/>
  <c r="I23" i="2"/>
  <c r="G11" i="7"/>
  <c r="G12" i="7" s="1"/>
  <c r="C493" i="19"/>
  <c r="J11" i="7"/>
  <c r="Q11" i="7"/>
  <c r="M11" i="7"/>
  <c r="I11" i="7"/>
  <c r="K11" i="7"/>
  <c r="C490" i="19"/>
  <c r="P11" i="7"/>
  <c r="K370" i="19" s="1"/>
  <c r="L11" i="7"/>
  <c r="H11" i="7"/>
  <c r="O11" i="7"/>
  <c r="F80" i="7"/>
  <c r="C495" i="19" s="1"/>
  <c r="F77" i="7"/>
  <c r="R11" i="7"/>
  <c r="N11" i="7"/>
  <c r="E44" i="26"/>
  <c r="H33" i="10"/>
  <c r="R10" i="3"/>
  <c r="R12" i="3" s="1"/>
  <c r="D502" i="19"/>
  <c r="F8" i="14"/>
  <c r="F502" i="19" s="1"/>
  <c r="E502" i="19"/>
  <c r="E501" i="19"/>
  <c r="K20" i="2"/>
  <c r="F16" i="26"/>
  <c r="F17" i="26" s="1"/>
  <c r="D501" i="19"/>
  <c r="G5" i="25"/>
  <c r="G8" i="25" s="1"/>
  <c r="F8" i="25"/>
  <c r="E6" i="14"/>
  <c r="D500" i="19"/>
  <c r="S28" i="14"/>
  <c r="R35" i="14"/>
  <c r="Q28" i="3" s="1"/>
  <c r="K368" i="19"/>
  <c r="U27" i="13"/>
  <c r="T30" i="13"/>
  <c r="S25" i="3" s="1"/>
  <c r="O30" i="18"/>
  <c r="O31" i="18" s="1"/>
  <c r="M35" i="3"/>
  <c r="C11" i="18"/>
  <c r="E37" i="26" s="1"/>
  <c r="E17" i="12"/>
  <c r="G24" i="26" s="1"/>
  <c r="F5" i="12"/>
  <c r="F17" i="12" s="1"/>
  <c r="H24" i="26" s="1"/>
  <c r="U52" i="11"/>
  <c r="S21" i="3" s="1"/>
  <c r="G4" i="10"/>
  <c r="H9" i="26" s="1"/>
  <c r="K12" i="2"/>
  <c r="E43" i="26" l="1"/>
  <c r="E19" i="26"/>
  <c r="H370" i="19"/>
  <c r="M12" i="7"/>
  <c r="P12" i="7"/>
  <c r="K371" i="19" s="1"/>
  <c r="I370" i="19"/>
  <c r="N12" i="7"/>
  <c r="J370" i="19"/>
  <c r="O12" i="7"/>
  <c r="L370" i="19"/>
  <c r="Q12" i="7"/>
  <c r="M370" i="19"/>
  <c r="R12" i="7"/>
  <c r="D494" i="19"/>
  <c r="H12" i="7"/>
  <c r="F370" i="19"/>
  <c r="K12" i="7"/>
  <c r="E370" i="19"/>
  <c r="J12" i="7"/>
  <c r="F78" i="7"/>
  <c r="C492" i="19" s="1"/>
  <c r="C491" i="19"/>
  <c r="G370" i="19"/>
  <c r="L12" i="7"/>
  <c r="D370" i="19"/>
  <c r="I12" i="7"/>
  <c r="B26" i="3"/>
  <c r="B36" i="3" s="1"/>
  <c r="N26" i="3"/>
  <c r="E45" i="26"/>
  <c r="E46" i="26" s="1"/>
  <c r="I33" i="10"/>
  <c r="S10" i="3"/>
  <c r="S12" i="3" s="1"/>
  <c r="L20" i="2"/>
  <c r="J25" i="2"/>
  <c r="C37" i="5"/>
  <c r="D37" i="5" s="1"/>
  <c r="E37" i="5" s="1"/>
  <c r="F37" i="5" s="1"/>
  <c r="G16" i="26"/>
  <c r="H16" i="26"/>
  <c r="F44" i="26"/>
  <c r="F6" i="14"/>
  <c r="F500" i="19" s="1"/>
  <c r="E500" i="19"/>
  <c r="T28" i="14"/>
  <c r="S35" i="14"/>
  <c r="R28" i="3" s="1"/>
  <c r="L12" i="2"/>
  <c r="C12" i="18"/>
  <c r="V27" i="13"/>
  <c r="U30" i="13"/>
  <c r="T25" i="3" s="1"/>
  <c r="V52" i="11"/>
  <c r="T21" i="3" s="1"/>
  <c r="P30" i="18"/>
  <c r="P31" i="18" s="1"/>
  <c r="N35" i="3"/>
  <c r="W26" i="3" l="1"/>
  <c r="K26" i="3"/>
  <c r="H7" i="7"/>
  <c r="E28" i="26" s="1"/>
  <c r="D371" i="19"/>
  <c r="D26" i="3"/>
  <c r="P26" i="3"/>
  <c r="F26" i="3"/>
  <c r="R26" i="3"/>
  <c r="F371" i="19"/>
  <c r="M371" i="19"/>
  <c r="M26" i="3"/>
  <c r="Y26" i="3"/>
  <c r="J26" i="3"/>
  <c r="V26" i="3"/>
  <c r="J371" i="19"/>
  <c r="H26" i="3"/>
  <c r="T26" i="3"/>
  <c r="H371" i="19"/>
  <c r="G371" i="19"/>
  <c r="S26" i="3"/>
  <c r="G26" i="3"/>
  <c r="Q26" i="3"/>
  <c r="E26" i="3"/>
  <c r="E371" i="19"/>
  <c r="C371" i="19"/>
  <c r="O26" i="3"/>
  <c r="C26" i="3"/>
  <c r="L26" i="3"/>
  <c r="X26" i="3"/>
  <c r="L371" i="19"/>
  <c r="I26" i="3"/>
  <c r="U26" i="3"/>
  <c r="I371" i="19"/>
  <c r="H17" i="26"/>
  <c r="L25" i="2" s="1"/>
  <c r="G17" i="26"/>
  <c r="K25" i="2" s="1"/>
  <c r="J33" i="10"/>
  <c r="T10" i="3"/>
  <c r="T12" i="3" s="1"/>
  <c r="U28" i="14"/>
  <c r="T35" i="14"/>
  <c r="S28" i="3" s="1"/>
  <c r="W52" i="11"/>
  <c r="U21" i="3" s="1"/>
  <c r="W27" i="13"/>
  <c r="V30" i="13"/>
  <c r="U25" i="3" s="1"/>
  <c r="N36" i="3"/>
  <c r="Q30" i="18"/>
  <c r="Q31" i="18" s="1"/>
  <c r="O35" i="3"/>
  <c r="C366" i="19" l="1"/>
  <c r="I7" i="7"/>
  <c r="F28" i="26" s="1"/>
  <c r="O36" i="3"/>
  <c r="G44" i="26"/>
  <c r="H44" i="26"/>
  <c r="U10" i="3"/>
  <c r="U12" i="3" s="1"/>
  <c r="K33" i="10"/>
  <c r="V28" i="14"/>
  <c r="U35" i="14"/>
  <c r="T28" i="3" s="1"/>
  <c r="X27" i="13"/>
  <c r="W30" i="13"/>
  <c r="V25" i="3" s="1"/>
  <c r="R30" i="18"/>
  <c r="R31" i="18" s="1"/>
  <c r="P35" i="3"/>
  <c r="X52" i="11"/>
  <c r="V21" i="3" s="1"/>
  <c r="J7" i="7" l="1"/>
  <c r="G28" i="26" s="1"/>
  <c r="D366" i="19"/>
  <c r="L33" i="10"/>
  <c r="V10" i="3"/>
  <c r="V12" i="3" s="1"/>
  <c r="W28" i="14"/>
  <c r="V35" i="14"/>
  <c r="U28" i="3" s="1"/>
  <c r="P36" i="3"/>
  <c r="Y52" i="11"/>
  <c r="W21" i="3" s="1"/>
  <c r="S30" i="18"/>
  <c r="S31" i="18" s="1"/>
  <c r="Q35" i="3"/>
  <c r="Q36" i="3" s="1"/>
  <c r="Y27" i="13"/>
  <c r="X30" i="13"/>
  <c r="W25" i="3" s="1"/>
  <c r="E366" i="19" l="1"/>
  <c r="K7" i="7"/>
  <c r="H28" i="26" s="1"/>
  <c r="W10" i="3"/>
  <c r="W12" i="3" s="1"/>
  <c r="M33" i="10"/>
  <c r="X28" i="14"/>
  <c r="W35" i="14"/>
  <c r="V28" i="3" s="1"/>
  <c r="Z27" i="13"/>
  <c r="Y30" i="13"/>
  <c r="X25" i="3" s="1"/>
  <c r="T30" i="18"/>
  <c r="T31" i="18" s="1"/>
  <c r="R35" i="3"/>
  <c r="R36" i="3" s="1"/>
  <c r="AA52" i="11"/>
  <c r="Z52" i="11"/>
  <c r="X21" i="3" s="1"/>
  <c r="F366" i="19" l="1"/>
  <c r="X10" i="3"/>
  <c r="X12" i="3" s="1"/>
  <c r="N33" i="10"/>
  <c r="Y28" i="14"/>
  <c r="X35" i="14"/>
  <c r="W28" i="3" s="1"/>
  <c r="Y21" i="3"/>
  <c r="Z30" i="13"/>
  <c r="Y25" i="3" s="1"/>
  <c r="U30" i="18"/>
  <c r="U31" i="18" s="1"/>
  <c r="S35" i="3"/>
  <c r="S36" i="3" s="1"/>
  <c r="Y10" i="3" l="1"/>
  <c r="Y12" i="3" s="1"/>
  <c r="E7" i="10"/>
  <c r="Z28" i="14"/>
  <c r="Y35" i="14"/>
  <c r="X28" i="3" s="1"/>
  <c r="D358" i="19"/>
  <c r="V30" i="18"/>
  <c r="V31" i="18" s="1"/>
  <c r="T35" i="3"/>
  <c r="T36" i="3" s="1"/>
  <c r="D13" i="13"/>
  <c r="F10" i="26" l="1"/>
  <c r="J15" i="2"/>
  <c r="E529" i="19" s="1"/>
  <c r="E8" i="10"/>
  <c r="J16" i="2" s="1"/>
  <c r="F7" i="10"/>
  <c r="Z35" i="14"/>
  <c r="Y28" i="3" s="1"/>
  <c r="D5" i="14"/>
  <c r="W30" i="18"/>
  <c r="W31" i="18" s="1"/>
  <c r="U35" i="3"/>
  <c r="U36" i="3" s="1"/>
  <c r="E358" i="19"/>
  <c r="F13" i="13"/>
  <c r="H27" i="26" s="1"/>
  <c r="E13" i="13"/>
  <c r="G27" i="26" s="1"/>
  <c r="J21" i="2" l="1"/>
  <c r="F12" i="26"/>
  <c r="G10" i="26"/>
  <c r="F8" i="10"/>
  <c r="K16" i="2" s="1"/>
  <c r="G7" i="10"/>
  <c r="K15" i="2"/>
  <c r="F529" i="19" s="1"/>
  <c r="D12" i="14"/>
  <c r="F30" i="26" s="1"/>
  <c r="D499" i="19"/>
  <c r="E5" i="14"/>
  <c r="F358" i="19"/>
  <c r="X30" i="18"/>
  <c r="X31" i="18" s="1"/>
  <c r="V35" i="3"/>
  <c r="V36" i="3" s="1"/>
  <c r="K21" i="2" l="1"/>
  <c r="G12" i="26"/>
  <c r="F43" i="26"/>
  <c r="F45" i="26" s="1"/>
  <c r="F46" i="26" s="1"/>
  <c r="J23" i="2"/>
  <c r="F19" i="26"/>
  <c r="H10" i="26"/>
  <c r="L15" i="2"/>
  <c r="G529" i="19" s="1"/>
  <c r="G8" i="10"/>
  <c r="L16" i="2" s="1"/>
  <c r="E12" i="14"/>
  <c r="G30" i="26" s="1"/>
  <c r="E499" i="19"/>
  <c r="F5" i="14"/>
  <c r="D504" i="19"/>
  <c r="D14" i="14"/>
  <c r="Y30" i="18"/>
  <c r="Y31" i="18" s="1"/>
  <c r="W35" i="3"/>
  <c r="W36" i="3" s="1"/>
  <c r="K23" i="2" l="1"/>
  <c r="G43" i="26"/>
  <c r="G45" i="26" s="1"/>
  <c r="G46" i="26" s="1"/>
  <c r="G19" i="26"/>
  <c r="L21" i="2"/>
  <c r="H12" i="26"/>
  <c r="F12" i="14"/>
  <c r="H30" i="26" s="1"/>
  <c r="F499" i="19"/>
  <c r="E504" i="19"/>
  <c r="E14" i="14"/>
  <c r="Z30" i="18"/>
  <c r="Z31" i="18" s="1"/>
  <c r="X35" i="3"/>
  <c r="X36" i="3" s="1"/>
  <c r="L23" i="2" l="1"/>
  <c r="H43" i="26"/>
  <c r="H45" i="26" s="1"/>
  <c r="H46" i="26" s="1"/>
  <c r="H19" i="26"/>
  <c r="F504" i="19"/>
  <c r="F14" i="14"/>
  <c r="Y35" i="3"/>
  <c r="D11" i="18"/>
  <c r="F37" i="26" s="1"/>
  <c r="F38" i="26" s="1"/>
  <c r="F50" i="26" s="1"/>
  <c r="F40" i="26" l="1"/>
  <c r="J26" i="2"/>
  <c r="C38" i="5"/>
  <c r="C39" i="5" s="1"/>
  <c r="F51" i="26"/>
  <c r="F56" i="26" s="1"/>
  <c r="E11" i="18"/>
  <c r="G37" i="26" s="1"/>
  <c r="G38" i="26" s="1"/>
  <c r="G50" i="26" s="1"/>
  <c r="D12" i="18"/>
  <c r="Y36" i="3"/>
  <c r="D49" i="2" l="1"/>
  <c r="G51" i="26"/>
  <c r="G56" i="26" s="1"/>
  <c r="G40" i="26"/>
  <c r="K26" i="2"/>
  <c r="J27" i="2"/>
  <c r="J28" i="2" s="1"/>
  <c r="F11" i="18"/>
  <c r="H37" i="26" s="1"/>
  <c r="H38" i="26" s="1"/>
  <c r="H50" i="26" s="1"/>
  <c r="E12" i="18"/>
  <c r="E49" i="2" l="1"/>
  <c r="H40" i="26"/>
  <c r="L26" i="2"/>
  <c r="H51" i="26"/>
  <c r="H56" i="26" s="1"/>
  <c r="K27" i="2"/>
  <c r="K28" i="2" s="1"/>
  <c r="F12" i="18"/>
  <c r="F49" i="2" l="1"/>
  <c r="G49" i="2" s="1"/>
  <c r="H49" i="2" s="1"/>
  <c r="I49" i="2" s="1"/>
  <c r="J49" i="2" s="1"/>
  <c r="K49" i="2" s="1"/>
  <c r="L49" i="2" s="1"/>
  <c r="M49" i="2" s="1"/>
  <c r="L27" i="2"/>
  <c r="L28" i="2" s="1"/>
  <c r="I43" i="2" s="1"/>
  <c r="C28" i="3" l="1"/>
  <c r="C36" i="3" s="1"/>
  <c r="D28" i="3" l="1"/>
  <c r="D36" i="3" s="1"/>
  <c r="E28" i="3" l="1"/>
  <c r="E36" i="3" s="1"/>
  <c r="F28" i="3" l="1"/>
  <c r="F36" i="3" s="1"/>
  <c r="G28" i="3" l="1"/>
  <c r="G36" i="3" s="1"/>
  <c r="H28" i="3" l="1"/>
  <c r="H36" i="3" s="1"/>
  <c r="I28" i="3" l="1"/>
  <c r="I36" i="3" s="1"/>
  <c r="J28" i="3" l="1"/>
  <c r="J36" i="3" l="1"/>
  <c r="K28" i="3"/>
  <c r="K36" i="3" l="1"/>
  <c r="L28" i="3"/>
  <c r="L36" i="3" s="1"/>
  <c r="C502" i="19" l="1"/>
  <c r="M28" i="3"/>
  <c r="M36" i="3" s="1"/>
  <c r="C500" i="19"/>
  <c r="C12" i="14" l="1"/>
  <c r="E30" i="26" s="1"/>
  <c r="E38" i="26" s="1"/>
  <c r="E50" i="26" s="1"/>
  <c r="E51" i="26" l="1"/>
  <c r="E56" i="26" s="1"/>
  <c r="E40" i="26"/>
  <c r="I26" i="2"/>
  <c r="I27" i="2" s="1"/>
  <c r="I28" i="2" s="1"/>
  <c r="I42" i="2"/>
  <c r="I44" i="2" s="1"/>
  <c r="C504" i="19"/>
  <c r="C14" i="14"/>
  <c r="D38" i="5"/>
  <c r="C49" i="2" l="1"/>
  <c r="E38" i="5"/>
  <c r="D39" i="5"/>
  <c r="O22" i="2" l="1"/>
  <c r="O18" i="2"/>
  <c r="F38" i="5"/>
  <c r="F39" i="5" s="1"/>
  <c r="E39" i="5"/>
  <c r="M17" i="3"/>
  <c r="L17" i="3"/>
  <c r="J17" i="3"/>
  <c r="H17" i="3"/>
  <c r="C17" i="3"/>
  <c r="Y17" i="3"/>
  <c r="W17" i="3"/>
  <c r="V17" i="3"/>
  <c r="U17" i="3"/>
  <c r="X17" i="3"/>
  <c r="P17" i="3"/>
  <c r="N17" i="3"/>
  <c r="O17" i="3"/>
  <c r="S17" i="3"/>
  <c r="T17" i="3"/>
  <c r="R17" i="3"/>
  <c r="G17" i="3"/>
  <c r="F17" i="3"/>
  <c r="Q17" i="3"/>
  <c r="D17" i="3"/>
  <c r="I17" i="3"/>
  <c r="B17" i="3"/>
  <c r="B18" i="3" s="1"/>
  <c r="E17" i="3"/>
  <c r="E18" i="3" s="1"/>
  <c r="K17" i="3"/>
  <c r="K18" i="3" s="1"/>
  <c r="S18" i="3" l="1"/>
  <c r="S37" i="3"/>
  <c r="Y18" i="3"/>
  <c r="Y37" i="3"/>
  <c r="L18" i="3"/>
  <c r="L37" i="3"/>
  <c r="I18" i="3"/>
  <c r="I37" i="3"/>
  <c r="G18" i="3"/>
  <c r="G37" i="3"/>
  <c r="O18" i="3"/>
  <c r="O37" i="3"/>
  <c r="U18" i="3"/>
  <c r="U37" i="3"/>
  <c r="C18" i="3"/>
  <c r="C37" i="3"/>
  <c r="M18" i="3"/>
  <c r="M37" i="3"/>
  <c r="X18" i="3"/>
  <c r="X37" i="3"/>
  <c r="D18" i="3"/>
  <c r="D37" i="3"/>
  <c r="R18" i="3"/>
  <c r="R37" i="3"/>
  <c r="N18" i="3"/>
  <c r="N37" i="3"/>
  <c r="V18" i="3"/>
  <c r="V37" i="3"/>
  <c r="H18" i="3"/>
  <c r="H37" i="3"/>
  <c r="F18" i="3"/>
  <c r="F37" i="3"/>
  <c r="Q18" i="3"/>
  <c r="Q37" i="3"/>
  <c r="T18" i="3"/>
  <c r="T37" i="3"/>
  <c r="P18" i="3"/>
  <c r="P37" i="3"/>
  <c r="W18" i="3"/>
  <c r="W37" i="3"/>
  <c r="J18" i="3"/>
  <c r="J37" i="3"/>
  <c r="B37" i="3"/>
  <c r="B6" i="3" s="1"/>
  <c r="C5" i="3" s="1"/>
  <c r="E37" i="3"/>
  <c r="K37" i="3"/>
  <c r="C6" i="3" l="1"/>
  <c r="D5" i="3" s="1"/>
  <c r="D6" i="3" s="1"/>
  <c r="E5" i="3" s="1"/>
  <c r="E6" i="3" s="1"/>
  <c r="F5" i="3" s="1"/>
  <c r="F6" i="3" s="1"/>
  <c r="G5" i="3" s="1"/>
  <c r="G6" i="3" s="1"/>
  <c r="H5" i="3" s="1"/>
  <c r="H6" i="3" s="1"/>
  <c r="I5" i="3" s="1"/>
  <c r="I6" i="3" s="1"/>
  <c r="J5" i="3" s="1"/>
  <c r="J6" i="3" s="1"/>
  <c r="K5" i="3" s="1"/>
  <c r="K6" i="3" s="1"/>
  <c r="L5" i="3" s="1"/>
  <c r="L6" i="3" s="1"/>
  <c r="M5" i="3" s="1"/>
  <c r="M6" i="3" s="1"/>
  <c r="N5" i="3" s="1"/>
  <c r="N6" i="3" s="1"/>
  <c r="O5" i="3" s="1"/>
  <c r="O6" i="3" s="1"/>
  <c r="P5" i="3" s="1"/>
  <c r="P6" i="3" s="1"/>
  <c r="Q5" i="3" s="1"/>
  <c r="Q6" i="3" s="1"/>
  <c r="R5" i="3" s="1"/>
  <c r="R6" i="3" s="1"/>
  <c r="S5" i="3" s="1"/>
  <c r="S6" i="3" s="1"/>
  <c r="T5" i="3" s="1"/>
  <c r="T6" i="3" s="1"/>
  <c r="U5" i="3" s="1"/>
  <c r="U6" i="3" s="1"/>
  <c r="V5" i="3" s="1"/>
  <c r="V6" i="3" s="1"/>
  <c r="W5" i="3" s="1"/>
  <c r="W6" i="3" s="1"/>
  <c r="X5" i="3" s="1"/>
  <c r="X6" i="3" s="1"/>
  <c r="Y5" i="3" s="1"/>
  <c r="Y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E4" authorId="0" shapeId="0" xr:uid="{5567077C-F293-4EEE-9A5E-BE484286B93E}">
      <text>
        <r>
          <rPr>
            <sz val="9"/>
            <color indexed="81"/>
            <rFont val="Tahoma"/>
            <family val="2"/>
          </rPr>
          <t>Enter in the total area of your greenhouse or building space</t>
        </r>
      </text>
    </comment>
    <comment ref="D5" authorId="0" shapeId="0" xr:uid="{BD733CE7-D49C-49F5-9063-22A25447D566}">
      <text>
        <r>
          <rPr>
            <sz val="9"/>
            <color indexed="81"/>
            <rFont val="Tahoma"/>
            <family val="2"/>
          </rPr>
          <t>Sums the total cost for each category</t>
        </r>
      </text>
    </comment>
    <comment ref="D6" authorId="0" shapeId="0" xr:uid="{35DA778D-FDEE-457D-81DF-709A02EC360F}">
      <text>
        <r>
          <rPr>
            <sz val="9"/>
            <color indexed="81"/>
            <rFont val="Tahoma"/>
            <family val="2"/>
          </rPr>
          <t xml:space="preserve">Additional capital that may be needed for unforeseen circumstances. Added as a percantage of total capital.
</t>
        </r>
      </text>
    </comment>
    <comment ref="D8" authorId="0" shapeId="0" xr:uid="{6D6A39B8-2420-4B18-8626-F55CBE6BD551}">
      <text>
        <r>
          <rPr>
            <sz val="9"/>
            <color indexed="81"/>
            <rFont val="Tahoma"/>
            <family val="2"/>
          </rPr>
          <t>Represents potential cash needed to cover projected operating deficits - Influences 2 Yr Monthly Cash Flow Report</t>
        </r>
      </text>
    </comment>
    <comment ref="J9" authorId="0" shapeId="0" xr:uid="{207D9DD8-831B-43E7-B7ED-BE3CE8D04CFB}">
      <text>
        <r>
          <rPr>
            <sz val="9"/>
            <color indexed="81"/>
            <rFont val="Tahoma"/>
            <family val="2"/>
          </rPr>
          <t>Monthly payment is automatically added to the debt service line in the operating budget. See tab labeled  "Other Operating Expenses"</t>
        </r>
      </text>
    </comment>
    <comment ref="I13" authorId="0" shapeId="0" xr:uid="{BD9C5653-A146-4589-9100-DBE80E9E9DAF}">
      <text>
        <r>
          <rPr>
            <sz val="9"/>
            <color indexed="81"/>
            <rFont val="Tahoma"/>
            <family val="2"/>
          </rPr>
          <t>Common depreciation categories</t>
        </r>
      </text>
    </comment>
    <comment ref="J13" authorId="0" shapeId="0" xr:uid="{E84CE505-61A3-47A4-9381-D6F9DA85AEAD}">
      <text>
        <r>
          <rPr>
            <sz val="9"/>
            <color indexed="81"/>
            <rFont val="Tahoma"/>
            <family val="2"/>
          </rPr>
          <t>Totals the value of all items selected per category</t>
        </r>
      </text>
    </comment>
    <comment ref="K13" authorId="0" shapeId="0" xr:uid="{280D75C1-62A4-45FE-96A7-5A212C04BD46}">
      <text>
        <r>
          <rPr>
            <sz val="9"/>
            <color indexed="81"/>
            <rFont val="Tahoma"/>
            <family val="2"/>
          </rPr>
          <t>Estimate of what the item would be worth at the end of it's useful life</t>
        </r>
      </text>
    </comment>
    <comment ref="L13" authorId="0" shapeId="0" xr:uid="{62C8D0F8-376A-472E-866F-9AC17D6C3AC9}">
      <text>
        <r>
          <rPr>
            <b/>
            <sz val="9"/>
            <color indexed="81"/>
            <rFont val="Tahoma"/>
            <family val="2"/>
          </rPr>
          <t>JD Sawyer:</t>
        </r>
        <r>
          <rPr>
            <sz val="9"/>
            <color indexed="81"/>
            <rFont val="Tahoma"/>
            <family val="2"/>
          </rPr>
          <t xml:space="preserve">
$ Value based on salvage percentage x original asset value</t>
        </r>
      </text>
    </comment>
    <comment ref="M13" authorId="0" shapeId="0" xr:uid="{868DC296-2245-4B65-A004-FFD9FF047EC8}">
      <text>
        <r>
          <rPr>
            <sz val="9"/>
            <color indexed="81"/>
            <rFont val="Tahoma"/>
            <family val="2"/>
          </rPr>
          <t xml:space="preserve">Number of years in which the asset category is depreciated across. </t>
        </r>
      </text>
    </comment>
    <comment ref="N13" authorId="0" shapeId="0" xr:uid="{AA22781F-6A77-429D-9B92-88B6C97AA8AF}">
      <text>
        <r>
          <rPr>
            <sz val="9"/>
            <color indexed="81"/>
            <rFont val="Tahoma"/>
            <family val="2"/>
          </rPr>
          <t xml:space="preserve">There are several depreciation methods. For simplicity we are using the straight line method which divides the difference between the asset value and salvage value across the useful life span. </t>
        </r>
      </text>
    </comment>
    <comment ref="N19" authorId="0" shapeId="0" xr:uid="{2FACE2E1-FD5C-4BDA-A369-427701228448}">
      <text>
        <r>
          <rPr>
            <sz val="9"/>
            <color indexed="81"/>
            <rFont val="Tahoma"/>
            <family val="2"/>
          </rPr>
          <t>Total of all depreciation categories by year. Added to 4 yr Pro-Forma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I2" authorId="0" shapeId="0" xr:uid="{14DB1173-02E8-475C-99C3-47E5C9EB7C2D}">
      <text>
        <r>
          <rPr>
            <sz val="9"/>
            <color indexed="81"/>
            <rFont val="Tahoma"/>
            <family val="2"/>
          </rPr>
          <t xml:space="preserve">This value allows the program to adjust revenue and expenses based upon the startup month. For example, if you start your farm in the winter months vs. the summer months than your values for winter months revenue and certain expenses will correspond to the proper month. </t>
        </r>
      </text>
    </comment>
    <comment ref="F7" authorId="0" shapeId="0" xr:uid="{D54DBF36-AD04-464F-A919-8F2092B2DB84}">
      <text>
        <r>
          <rPr>
            <sz val="9"/>
            <color indexed="81"/>
            <rFont val="Tahoma"/>
            <family val="2"/>
          </rPr>
          <t>List out specific crop varieties you intend to grow in your DWC system</t>
        </r>
      </text>
    </comment>
    <comment ref="G7" authorId="0" shapeId="0" xr:uid="{17532343-4F63-4194-AF5E-27BAC491EEAB}">
      <text>
        <r>
          <rPr>
            <sz val="9"/>
            <color indexed="81"/>
            <rFont val="Tahoma"/>
            <family val="2"/>
          </rPr>
          <t xml:space="preserve">Determine the number of raft boards you will allocate to each crop. </t>
        </r>
      </text>
    </comment>
    <comment ref="I7" authorId="0" shapeId="0" xr:uid="{62C81A26-5D2F-4CBA-83CF-BB6CA3C019A3}">
      <text>
        <r>
          <rPr>
            <sz val="9"/>
            <color indexed="81"/>
            <rFont val="Tahoma"/>
            <family val="2"/>
          </rPr>
          <t xml:space="preserve">List how many plants you intend to grow out on each raft board. This will require some trial and error to determine the optimal spacing for each type of crop. In some cases you may drill out more holes in a raft board to plant at a higher density. </t>
        </r>
      </text>
    </comment>
    <comment ref="L7" authorId="0" shapeId="0" xr:uid="{4B1FF064-7848-40D1-BF9B-C497C983EA12}">
      <text>
        <r>
          <rPr>
            <sz val="9"/>
            <color indexed="81"/>
            <rFont val="Tahoma"/>
            <family val="2"/>
          </rPr>
          <t>The projected number of weeks from when the crop is transplanted into the DWC system to when it is harvested. This does not include time spent in germination or any secondary transplanting</t>
        </r>
      </text>
    </comment>
    <comment ref="N7" authorId="0" shapeId="0" xr:uid="{8F2F1E16-EA45-49E9-A022-2D614655093B}">
      <text>
        <r>
          <rPr>
            <sz val="9"/>
            <color indexed="81"/>
            <rFont val="Tahoma"/>
            <family val="2"/>
          </rPr>
          <t xml:space="preserve">Represents a percentage estimate of the crops that will not be sellable for a variety of reasons such as pests, bolting or nutrient defiencies to name a few. </t>
        </r>
      </text>
    </comment>
    <comment ref="B14" authorId="0" shapeId="0" xr:uid="{BF2819E4-BC73-496B-B691-0B48C92F6174}">
      <text>
        <r>
          <rPr>
            <sz val="9"/>
            <color indexed="81"/>
            <rFont val="Tahoma"/>
            <family val="2"/>
          </rPr>
          <t>Divides surface area of raft board into the total surface area of the DWC troughs</t>
        </r>
      </text>
    </comment>
    <comment ref="B16" authorId="0" shapeId="0" xr:uid="{13856A98-414B-4C2C-9924-622FEEEF527D}">
      <text>
        <r>
          <rPr>
            <sz val="9"/>
            <color indexed="81"/>
            <rFont val="Tahoma"/>
            <family val="2"/>
          </rPr>
          <t xml:space="preserve">Divides the number of plants spaces by the surface area of the raft board </t>
        </r>
      </text>
    </comment>
    <comment ref="B17" authorId="0" shapeId="0" xr:uid="{042FCABB-10DB-4C63-87F8-3374E64E092B}">
      <text>
        <r>
          <rPr>
            <sz val="9"/>
            <color indexed="81"/>
            <rFont val="Tahoma"/>
            <family val="2"/>
          </rPr>
          <t xml:space="preserve">Equals the total area of the DWC troughs x the plant density </t>
        </r>
      </text>
    </comment>
    <comment ref="B18" authorId="0" shapeId="0" xr:uid="{4DBC6E87-EB45-4B1D-9858-293D472CD381}">
      <text>
        <r>
          <rPr>
            <b/>
            <sz val="9"/>
            <color indexed="81"/>
            <rFont val="Tahoma"/>
            <family val="2"/>
          </rPr>
          <t>JD Sawyer:</t>
        </r>
        <r>
          <rPr>
            <sz val="9"/>
            <color indexed="81"/>
            <rFont val="Tahoma"/>
            <family val="2"/>
          </rPr>
          <t xml:space="preserve">
The projected number of weeks from when the crop is transplanted into the DWC system to when it is harvested. This does not include time spent in germination or any secondary transplanting</t>
        </r>
      </text>
    </comment>
    <comment ref="B19" authorId="0" shapeId="0" xr:uid="{FF11E7BF-F89A-4A01-9B71-64E6EAC7AF53}">
      <text>
        <r>
          <rPr>
            <sz val="9"/>
            <color indexed="81"/>
            <rFont val="Tahoma"/>
            <family val="2"/>
          </rPr>
          <t xml:space="preserve">52 weeks divided by the culture period. This represents how many times the total number of plants per culture would be turned over per year. This does not represent the actual number of harvests as that will happen more frequently usually weekly. </t>
        </r>
      </text>
    </comment>
    <comment ref="B20" authorId="0" shapeId="0" xr:uid="{8E49E592-7DD8-4CE8-BF42-65C0407B5B99}">
      <text>
        <r>
          <rPr>
            <sz val="9"/>
            <color indexed="81"/>
            <rFont val="Tahoma"/>
            <family val="2"/>
          </rPr>
          <t>Equals total plants per culture x the number of annual harvests</t>
        </r>
      </text>
    </comment>
    <comment ref="B21" authorId="0" shapeId="0" xr:uid="{B727E925-083A-4DA9-BEFA-BDE3B19B0056}">
      <text>
        <r>
          <rPr>
            <sz val="9"/>
            <color indexed="81"/>
            <rFont val="Tahoma"/>
            <family val="2"/>
          </rPr>
          <t xml:space="preserve">Represents a percentage estimate of the crops that will not be sellable for a variety of reasons such as pests, bolting or nutrient defiencies to name a few. Adjusting the loss rate can be one way of creating different production scenarios and outcomes. </t>
        </r>
      </text>
    </comment>
    <comment ref="B22" authorId="0" shapeId="0" xr:uid="{4EFF5205-0786-4717-99CE-A8BA353E5B9C}">
      <text>
        <r>
          <rPr>
            <sz val="9"/>
            <color indexed="81"/>
            <rFont val="Tahoma"/>
            <family val="2"/>
          </rPr>
          <t>Total plants adjusted down per the loss rate %</t>
        </r>
      </text>
    </comment>
    <comment ref="F22" authorId="0" shapeId="0" xr:uid="{C34EAA02-7EC6-49C7-8FE3-424077575BCC}">
      <text>
        <r>
          <rPr>
            <sz val="9"/>
            <color indexed="81"/>
            <rFont val="Tahoma"/>
            <family val="2"/>
          </rPr>
          <t>Total raft boards must not exceed total in C20</t>
        </r>
      </text>
    </comment>
    <comment ref="B25" authorId="0" shapeId="0" xr:uid="{58977985-FB19-4E83-9CEA-63DDCE69D32F}">
      <text>
        <r>
          <rPr>
            <sz val="9"/>
            <color indexed="81"/>
            <rFont val="Tahoma"/>
            <family val="2"/>
          </rPr>
          <t xml:space="preserve">A rough estimate of the average sale price per plant. Different plants will likely have different sale prices. This will be factored in when using the detailed production and revenue worksheets </t>
        </r>
      </text>
    </comment>
    <comment ref="B26" authorId="0" shapeId="0" xr:uid="{679BAAFF-D2CC-41E2-98AD-4EA56CA1C185}">
      <text>
        <r>
          <rPr>
            <sz val="9"/>
            <color indexed="81"/>
            <rFont val="Tahoma"/>
            <family val="2"/>
          </rPr>
          <t>Net Plants Annual x Estimated $ per plant</t>
        </r>
      </text>
    </comment>
    <comment ref="B27" authorId="0" shapeId="0" xr:uid="{6EDB25C1-9A5D-442B-BDF5-C1D66A640855}">
      <text>
        <r>
          <rPr>
            <sz val="9"/>
            <color indexed="81"/>
            <rFont val="Tahoma"/>
            <family val="2"/>
          </rPr>
          <t>Divides total revenue across the sq units of DWC space</t>
        </r>
      </text>
    </comment>
    <comment ref="B28" authorId="0" shapeId="0" xr:uid="{4A1F68C9-6500-4110-A622-706824160473}">
      <text>
        <r>
          <rPr>
            <sz val="9"/>
            <color indexed="81"/>
            <rFont val="Tahoma"/>
            <family val="2"/>
          </rPr>
          <t>Calculates the % of DWC sq units compared to the total building sq units.</t>
        </r>
      </text>
    </comment>
    <comment ref="B29" authorId="0" shapeId="0" xr:uid="{658FB257-4331-4F19-AD5D-2633351AEE3B}">
      <text>
        <r>
          <rPr>
            <sz val="9"/>
            <color indexed="81"/>
            <rFont val="Tahoma"/>
            <family val="2"/>
          </rPr>
          <t xml:space="preserve">Calculates gross revenue across the total building space
</t>
        </r>
      </text>
    </comment>
    <comment ref="B32" authorId="0" shapeId="0" xr:uid="{52E056A5-EF1B-491F-96B4-DC918481642B}">
      <text>
        <r>
          <rPr>
            <sz val="9"/>
            <color indexed="81"/>
            <rFont val="Tahoma"/>
            <family val="2"/>
          </rPr>
          <t xml:space="preserve">Represents the number of plugs in a pre-formed plug tray
</t>
        </r>
      </text>
    </comment>
    <comment ref="B33" authorId="0" shapeId="0" xr:uid="{1EF69501-8582-4CED-9F8B-5E5A43EF3AA4}">
      <text>
        <r>
          <rPr>
            <sz val="9"/>
            <color indexed="81"/>
            <rFont val="Tahoma"/>
            <family val="2"/>
          </rPr>
          <t xml:space="preserve">Since harvesting is typically a weekly event, This number divides the total plants per culture by the culture period. This value gives you the number of transplants that should theoretically be added to the DWC trough and therefore also represents the number of plants that should be harvested each week. 
</t>
        </r>
      </text>
    </comment>
    <comment ref="B34" authorId="0" shapeId="0" xr:uid="{F5EBEFAB-1561-480A-B9F6-A2A62B9D322B}">
      <text>
        <r>
          <rPr>
            <sz val="9"/>
            <color indexed="81"/>
            <rFont val="Tahoma"/>
            <family val="2"/>
          </rPr>
          <t>Divides the weekly transplants by the number of plugs per tray to determine the amount of plug trays need to be seeded and transplanted each week to maintain rotation</t>
        </r>
      </text>
    </comment>
    <comment ref="B35" authorId="0" shapeId="0" xr:uid="{974F1E3C-9415-4F97-957E-B20ABC9C07F9}">
      <text>
        <r>
          <rPr>
            <sz val="9"/>
            <color indexed="81"/>
            <rFont val="Tahoma"/>
            <family val="2"/>
          </rPr>
          <t xml:space="preserve">This is a buffering percentage or overseeding factor for seeds (plugs) that do not germinate. </t>
        </r>
      </text>
    </comment>
    <comment ref="B36" authorId="0" shapeId="0" xr:uid="{1FC0F219-D066-4048-8EC5-3F73D70F6359}">
      <text>
        <r>
          <rPr>
            <sz val="9"/>
            <color indexed="81"/>
            <rFont val="Tahoma"/>
            <family val="2"/>
          </rPr>
          <t>Factors in the overseed percentage to provide an actual number of plug trays</t>
        </r>
      </text>
    </comment>
    <comment ref="B37" authorId="0" shapeId="0" xr:uid="{18EAABF6-AC08-4A7C-B6CA-E02AD954B7CB}">
      <text>
        <r>
          <rPr>
            <sz val="9"/>
            <color indexed="81"/>
            <rFont val="Tahoma"/>
            <family val="2"/>
          </rPr>
          <t xml:space="preserve">Represents the estimated number of weeks starting from seed that the seedlings will remain in the nursery before transplanting. This number can be greatly influenced by quality of light, water, nutrients, temperature etc. </t>
        </r>
      </text>
    </comment>
    <comment ref="B38" authorId="0" shapeId="0" xr:uid="{1264071C-115F-4706-9A3A-718C7A154A91}">
      <text>
        <r>
          <rPr>
            <sz val="9"/>
            <color indexed="81"/>
            <rFont val="Tahoma"/>
            <family val="2"/>
          </rPr>
          <t>Multiplies total trays by the number of weeks they will be in the nursery to arrive at the minimum amount of plug trays that your nursery system will need to support. This is helpful for determining the size of your nursery system</t>
        </r>
      </text>
    </comment>
    <comment ref="B39" authorId="0" shapeId="0" xr:uid="{04674434-84A0-4D90-93B7-633B514EE14D}">
      <text>
        <r>
          <rPr>
            <b/>
            <sz val="9"/>
            <color indexed="81"/>
            <rFont val="Tahoma"/>
            <family val="2"/>
          </rPr>
          <t>JD Sawyer:</t>
        </r>
        <r>
          <rPr>
            <sz val="9"/>
            <color indexed="81"/>
            <rFont val="Tahoma"/>
            <family val="2"/>
          </rPr>
          <t xml:space="preserve">
Weekly trays x number of weeks in a year. </t>
        </r>
      </text>
    </comment>
    <comment ref="F42" authorId="0" shapeId="0" xr:uid="{DF6387E7-D36C-4016-B6E6-EF88C151DB8D}">
      <text>
        <r>
          <rPr>
            <sz val="9"/>
            <color indexed="81"/>
            <rFont val="Tahoma"/>
            <family val="2"/>
          </rPr>
          <t>Total raft boards must not exceed total in C20</t>
        </r>
      </text>
    </comment>
    <comment ref="B43" authorId="0" shapeId="0" xr:uid="{C0C79B52-D14E-46CC-874C-0EB6DD625295}">
      <text>
        <r>
          <rPr>
            <sz val="9"/>
            <color indexed="81"/>
            <rFont val="Tahoma"/>
            <family val="2"/>
          </rPr>
          <t>Assumes use of TAPS 2'x2' 105 seedling rafts for secondary transplanting of seedlings before they are moved to the main growout troughs. These calculations may not apply to your operation if you are not using the TAPS secondary transplanting method in your crop rotation plan.</t>
        </r>
        <r>
          <rPr>
            <b/>
            <sz val="9"/>
            <color indexed="81"/>
            <rFont val="Tahoma"/>
            <family val="2"/>
          </rPr>
          <t xml:space="preserve"> </t>
        </r>
        <r>
          <rPr>
            <sz val="9"/>
            <color indexed="81"/>
            <rFont val="Tahoma"/>
            <family val="2"/>
          </rPr>
          <t xml:space="preserve">
</t>
        </r>
      </text>
    </comment>
    <comment ref="B46" authorId="0" shapeId="0" xr:uid="{BCF10CF6-7528-4125-BD9D-CB0BC1D6D239}">
      <text>
        <r>
          <rPr>
            <sz val="9"/>
            <color indexed="81"/>
            <rFont val="Tahoma"/>
            <family val="2"/>
          </rPr>
          <t>One 2x2 transplanting raft can provide seedlings to approximately four 28 hole raft boards. Actual numbers will depend on planting density and culture time</t>
        </r>
      </text>
    </comment>
    <comment ref="B47" authorId="0" shapeId="0" xr:uid="{65B601FA-9657-433A-A2D5-34F0540F28DC}">
      <text>
        <r>
          <rPr>
            <sz val="9"/>
            <color indexed="81"/>
            <rFont val="Tahoma"/>
            <family val="2"/>
          </rPr>
          <t>Divides raft groups by culture time</t>
        </r>
        <r>
          <rPr>
            <b/>
            <sz val="9"/>
            <color indexed="81"/>
            <rFont val="Tahoma"/>
            <family val="2"/>
          </rPr>
          <t xml:space="preserve">
</t>
        </r>
      </text>
    </comment>
    <comment ref="B48" authorId="0" shapeId="0" xr:uid="{300BF069-4680-44BE-8D34-2D5BD98281C7}">
      <text>
        <r>
          <rPr>
            <sz val="9"/>
            <color indexed="81"/>
            <rFont val="Tahoma"/>
            <family val="2"/>
          </rPr>
          <t xml:space="preserve">1 transplanting raft per group of 4 raft boards rounded up </t>
        </r>
      </text>
    </comment>
    <comment ref="B49" authorId="0" shapeId="0" xr:uid="{EC316958-00B7-4423-BF60-C0D1F044349B}">
      <text>
        <r>
          <rPr>
            <sz val="9"/>
            <color indexed="81"/>
            <rFont val="Tahoma"/>
            <family val="2"/>
          </rPr>
          <t xml:space="preserve">This value will depend on how long the seedlings will remain in the secondary transplanting trough before final transplant to the growout troughs.
</t>
        </r>
      </text>
    </comment>
    <comment ref="B50" authorId="0" shapeId="0" xr:uid="{9F92D5B7-5B4E-4C09-8008-6332F8E32051}">
      <text>
        <r>
          <rPr>
            <sz val="9"/>
            <color indexed="81"/>
            <rFont val="Tahoma"/>
            <family val="2"/>
          </rPr>
          <t>Number of weeks x number of 2x2 rafts</t>
        </r>
      </text>
    </comment>
    <comment ref="B51" authorId="0" shapeId="0" xr:uid="{03D2A02C-B0B2-4708-94A6-5ABCB00BB836}">
      <text>
        <r>
          <rPr>
            <sz val="9"/>
            <color indexed="81"/>
            <rFont val="Tahoma"/>
            <family val="2"/>
          </rPr>
          <t>Multiplies 4 sq ft x the number of 2x2'  transplanting rafts to arrive at the total area of DWC needed for the transplanting trough</t>
        </r>
      </text>
    </comment>
    <comment ref="B52" authorId="0" shapeId="0" xr:uid="{78DB33F5-6E0E-4CB6-B854-FC295E61C8A1}">
      <text>
        <r>
          <rPr>
            <sz val="9"/>
            <color indexed="81"/>
            <rFont val="Tahoma"/>
            <family val="2"/>
          </rPr>
          <t xml:space="preserve">If you intend to scale this trough to a larger sq ft value then input that number here. This number combined with trough depth influence the total water volume calculation found in the Energy and Water worksheet
</t>
        </r>
      </text>
    </comment>
    <comment ref="B59" authorId="0" shapeId="0" xr:uid="{6D018022-19FD-42A0-88FD-E1DE809DFF0E}">
      <text>
        <r>
          <rPr>
            <sz val="9"/>
            <color indexed="81"/>
            <rFont val="Tahoma"/>
            <family val="2"/>
          </rPr>
          <t>Represents the estimated time in the system from fingerling to harvest. This is a higjly variable number based on fish species, temperature and many other factors. Consult with your aquaponic system designer for more information.</t>
        </r>
      </text>
    </comment>
    <comment ref="B60" authorId="0" shapeId="0" xr:uid="{B9174A44-B883-4D62-88BE-D3E96EE794F5}">
      <text>
        <r>
          <rPr>
            <sz val="9"/>
            <color indexed="81"/>
            <rFont val="Tahoma"/>
            <family val="2"/>
          </rPr>
          <t>The expected number of tanks in the system. This number can be changed depending on the volume per tank calculations below, your available space, available tanks or the number of age cohorts you wish to raise in a staggered stocking rotation at any given time</t>
        </r>
      </text>
    </comment>
    <comment ref="B61" authorId="0" shapeId="0" xr:uid="{A869C661-A5DD-4FDA-9639-E94D0BE1837A}">
      <text>
        <r>
          <rPr>
            <sz val="9"/>
            <color indexed="81"/>
            <rFont val="Tahoma"/>
            <family val="2"/>
          </rPr>
          <t>Divides the growout period by the number of tanks (age cohorts of fish) to determine the number of months between harvests of the adult cohort</t>
        </r>
      </text>
    </comment>
    <comment ref="B62" authorId="0" shapeId="0" xr:uid="{9C7ABD17-9236-43BF-8113-7D13B3B24183}">
      <text>
        <r>
          <rPr>
            <sz val="9"/>
            <color indexed="81"/>
            <rFont val="Tahoma"/>
            <family val="2"/>
          </rPr>
          <t xml:space="preserve">12 months divided by the full harvest frequency to determine the number of full adult tank harvests per year
</t>
        </r>
      </text>
    </comment>
    <comment ref="B63" authorId="0" shapeId="0" xr:uid="{9FD2289D-9BF9-40A8-A743-F16FC549419A}">
      <text>
        <r>
          <rPr>
            <sz val="9"/>
            <color indexed="81"/>
            <rFont val="Tahoma"/>
            <family val="2"/>
          </rPr>
          <t xml:space="preserve">This number represents the amount of feed required to produce 1 lb or 1kg of fish body mass. This number should be researched and reviewed for accuracy. Many factors can influence the FCR. </t>
        </r>
      </text>
    </comment>
    <comment ref="B64" authorId="0" shapeId="0" xr:uid="{BAA39A3D-C3FD-4B64-AC23-D830391DE1E1}">
      <text>
        <r>
          <rPr>
            <sz val="9"/>
            <color indexed="81"/>
            <rFont val="Tahoma"/>
            <family val="2"/>
          </rPr>
          <t>Represents 1 lb or 1 kg of weight gain divided by the FCR. This number is used to determine the total amount of fish weight gain based upon the amount of feed input into the system</t>
        </r>
      </text>
    </comment>
    <comment ref="B65" authorId="0" shapeId="0" xr:uid="{FC2B0486-0F0E-482A-8E06-479ADC4146DC}">
      <text>
        <r>
          <rPr>
            <sz val="9"/>
            <color indexed="81"/>
            <rFont val="Tahoma"/>
            <family val="2"/>
          </rPr>
          <t xml:space="preserve">Represents the maximum lbs or kg 
per gallon of fish (harvest density) at final harvest weight  </t>
        </r>
      </text>
    </comment>
    <comment ref="B66" authorId="0" shapeId="0" xr:uid="{2CA8AE11-0BCF-4FF3-A164-F49E7BAE134A}">
      <text>
        <r>
          <rPr>
            <sz val="9"/>
            <color indexed="81"/>
            <rFont val="Tahoma"/>
            <family val="2"/>
          </rPr>
          <t>Combines DWC growout and DWC transplanting trough sq ft.</t>
        </r>
      </text>
    </comment>
    <comment ref="B67" authorId="0" shapeId="0" xr:uid="{1D799409-81C0-489C-BF7C-7509186E4A69}">
      <text>
        <r>
          <rPr>
            <sz val="9"/>
            <color indexed="81"/>
            <rFont val="Tahoma"/>
            <family val="2"/>
          </rPr>
          <t xml:space="preserve">This is a critical variable that will influence nutrient availability to the plant system, fish production, tank volumes and other factors. Lower values between 15 to 30g/m2/day (or .05 to .01 oz per ft2/day) are fairly common for leafy green production in DWC systems. 
To convert grams per m2 to ounces per ft2, divide the grams per m2 by 305. 
Work with a qualified system designer to determine the proper daily feed rate for your farm.  </t>
        </r>
      </text>
    </comment>
    <comment ref="B68" authorId="0" shapeId="0" xr:uid="{88AE25D0-C6E3-43F6-87AC-E2F507E95C43}">
      <text>
        <r>
          <rPr>
            <sz val="9"/>
            <color indexed="81"/>
            <rFont val="Tahoma"/>
            <family val="2"/>
          </rPr>
          <t xml:space="preserve">Feeding rate per unit area x total DWC area
</t>
        </r>
      </text>
    </comment>
    <comment ref="B69" authorId="0" shapeId="0" xr:uid="{343605F9-DB4B-4DD9-8896-F581F2B062C6}">
      <text>
        <r>
          <rPr>
            <sz val="9"/>
            <color indexed="81"/>
            <rFont val="Tahoma"/>
            <family val="2"/>
          </rPr>
          <t xml:space="preserve">Conversion from grams to kg or ounces to lbs
</t>
        </r>
      </text>
    </comment>
    <comment ref="B71" authorId="0" shapeId="0" xr:uid="{183CD7AE-4CE8-4B74-9697-9E763A89C7A8}">
      <text>
        <r>
          <rPr>
            <sz val="9"/>
            <color indexed="81"/>
            <rFont val="Tahoma"/>
            <family val="2"/>
          </rPr>
          <t>Represents the annual feed input x the feed conversion efficiency to produce the total amount of fish weight per year</t>
        </r>
      </text>
    </comment>
    <comment ref="B72" authorId="0" shapeId="0" xr:uid="{E754F5C0-21A7-4BAD-A4FC-FD0AE6C4AB2E}">
      <text>
        <r>
          <rPr>
            <sz val="9"/>
            <color indexed="81"/>
            <rFont val="Tahoma"/>
            <family val="2"/>
          </rPr>
          <t>Total annual fish weight divided by weight gain per fish to arrive at the total number of annual fish</t>
        </r>
      </text>
    </comment>
    <comment ref="B73" authorId="0" shapeId="0" xr:uid="{5AEB4D20-E0A8-491C-8D33-6EAAC4A04729}">
      <text>
        <r>
          <rPr>
            <sz val="9"/>
            <color indexed="81"/>
            <rFont val="Tahoma"/>
            <family val="2"/>
          </rPr>
          <t>Represents the avg harvest weight of fish x the total number of fish harvested</t>
        </r>
      </text>
    </comment>
    <comment ref="B74" authorId="0" shapeId="0" xr:uid="{FC5A971B-3FD8-42E8-8599-E1B183BBEE5D}">
      <text>
        <r>
          <rPr>
            <sz val="9"/>
            <color indexed="81"/>
            <rFont val="Tahoma"/>
            <family val="2"/>
          </rPr>
          <t>Equals the total annual weight divided by the number of harvests per year</t>
        </r>
      </text>
    </comment>
    <comment ref="B75" authorId="0" shapeId="0" xr:uid="{8D9A1A6E-C8D1-48C3-9EC0-75CC7D933417}">
      <text>
        <r>
          <rPr>
            <sz val="9"/>
            <color indexed="81"/>
            <rFont val="Tahoma"/>
            <family val="2"/>
          </rPr>
          <t xml:space="preserve">This number calculates the weight per harvest and divides it by the maximum stocking density to determine the water volume per tank. Again, this represents the stocking density of the adult cohort on the final day of harvest. Smaller cohorts using the same tank volume will have lower overall stocking densities.
This number is typically rounded up to provide for additional capacity and to align with available tanks on the market </t>
        </r>
      </text>
    </comment>
    <comment ref="B76" authorId="0" shapeId="0" xr:uid="{8DD09455-BA32-4049-8812-97CBE2120E2B}">
      <text>
        <r>
          <rPr>
            <sz val="9"/>
            <color indexed="81"/>
            <rFont val="Tahoma"/>
            <family val="2"/>
          </rPr>
          <t>Represents the average harvest weight per fish divided by the stocking density to determine gallons of water per fish</t>
        </r>
      </text>
    </comment>
    <comment ref="B77" authorId="0" shapeId="0" xr:uid="{D3507449-7294-41E1-B2B6-7F5F3880C31D}">
      <text>
        <r>
          <rPr>
            <sz val="9"/>
            <color indexed="81"/>
            <rFont val="Tahoma"/>
            <family val="2"/>
          </rPr>
          <t>Determines the number of fish to stock per tank based upon the water volume of each tank divded by the gallons of water per harvest weight fish</t>
        </r>
      </text>
    </comment>
    <comment ref="B78" authorId="0" shapeId="0" xr:uid="{8E13ACA9-CA78-42A0-8A33-2CF5670C3CF4}">
      <text>
        <r>
          <rPr>
            <sz val="9"/>
            <color indexed="81"/>
            <rFont val="Tahoma"/>
            <family val="2"/>
          </rPr>
          <t>This number factors in a recommended 10% mortality rate when stocking new fish in a tank. This will be the minimum number of fingerlings you would purchase to stock your tank each time you harvest out the adult cohort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N2" authorId="0" shapeId="0" xr:uid="{867356E3-B966-416E-BC7A-BB32FB019553}">
      <text>
        <r>
          <rPr>
            <sz val="9"/>
            <color indexed="81"/>
            <rFont val="Tahoma"/>
            <family val="2"/>
          </rPr>
          <t>Insert the packaging cost for each item. These values will be reflected in the analysis tables below</t>
        </r>
      </text>
    </comment>
    <comment ref="G9" authorId="0" shapeId="0" xr:uid="{D2A24E16-C18D-4FDE-8B0E-BB02019D8D47}">
      <text>
        <r>
          <rPr>
            <sz val="9"/>
            <color indexed="81"/>
            <rFont val="Tahoma"/>
            <family val="2"/>
          </rPr>
          <t>Insert cost per fingerling. Assuming standard restocking rotation, these costs are automatically added into your COGS for fish</t>
        </r>
      </text>
    </comment>
    <comment ref="H9" authorId="0" shapeId="0" xr:uid="{AADC5F79-6705-4BD4-AD83-EB205F7F52AC}">
      <text>
        <r>
          <rPr>
            <sz val="9"/>
            <color indexed="81"/>
            <rFont val="Tahoma"/>
            <family val="2"/>
          </rPr>
          <t>Insert any shipping fees associated with fingerling delivery or pickup</t>
        </r>
      </text>
    </comment>
    <comment ref="I9" authorId="0" shapeId="0" xr:uid="{907F2AA1-C70F-4421-8C60-7B21783B5644}">
      <text>
        <r>
          <rPr>
            <sz val="9"/>
            <color indexed="81"/>
            <rFont val="Tahoma"/>
            <family val="2"/>
          </rPr>
          <t>Totals number of fingerlings purchased and shipment cost</t>
        </r>
      </text>
    </comment>
    <comment ref="E11" authorId="0" shapeId="0" xr:uid="{35D46530-6863-43DE-BB03-CC4A992D0A4B}">
      <text>
        <r>
          <rPr>
            <b/>
            <sz val="9"/>
            <color indexed="81"/>
            <rFont val="Tahoma"/>
            <family val="2"/>
          </rPr>
          <t>JD Sawyer:</t>
        </r>
        <r>
          <rPr>
            <sz val="9"/>
            <color indexed="81"/>
            <rFont val="Tahoma"/>
            <family val="2"/>
          </rPr>
          <t xml:space="preserve">
Added to your Fish COGS </t>
        </r>
      </text>
    </comment>
    <comment ref="G11" authorId="0" shapeId="0" xr:uid="{B0FE2261-C007-4AFC-92D8-822116B475E0}">
      <text>
        <r>
          <rPr>
            <sz val="9"/>
            <color indexed="81"/>
            <rFont val="Tahoma"/>
            <family val="2"/>
          </rPr>
          <t xml:space="preserve">Insert sale price per lb assuming sale of whole body weight unprocessed fish. </t>
        </r>
      </text>
    </comment>
    <comment ref="I11" authorId="0" shapeId="0" xr:uid="{87025526-D497-4226-B049-D0F168E196B3}">
      <text>
        <r>
          <rPr>
            <sz val="9"/>
            <color indexed="81"/>
            <rFont val="Tahoma"/>
            <family val="2"/>
          </rPr>
          <t>Revenue added to Fish revenue in 2 yr monthly cash flow and 4 yr pro forma</t>
        </r>
      </text>
    </comment>
    <comment ref="A16" authorId="0" shapeId="0" xr:uid="{C3500C89-28D5-4381-9550-E4A30BC57F9B}">
      <text>
        <r>
          <rPr>
            <sz val="9"/>
            <color indexed="81"/>
            <rFont val="Tahoma"/>
            <family val="2"/>
          </rPr>
          <t>Crops come in from the Plant &amp; Fish Production worksheet</t>
        </r>
      </text>
    </comment>
    <comment ref="C16" authorId="0" shapeId="0" xr:uid="{3858E0F1-3E52-4C40-B30A-26D1EC38ABBB}">
      <text>
        <r>
          <rPr>
            <sz val="9"/>
            <color indexed="81"/>
            <rFont val="Tahoma"/>
            <family val="2"/>
          </rPr>
          <t xml:space="preserve">Divide the cost per tray by the number of plugs to determine cost oer plug. </t>
        </r>
      </text>
    </comment>
    <comment ref="D16" authorId="0" shapeId="0" xr:uid="{FF6F8EEC-ADE5-44E8-A436-2A1C976C0D5D}">
      <text>
        <r>
          <rPr>
            <sz val="9"/>
            <color indexed="81"/>
            <rFont val="Tahoma"/>
            <family val="2"/>
          </rPr>
          <t>Totals seed cost and plug cost per plant</t>
        </r>
      </text>
    </comment>
    <comment ref="E16" authorId="0" shapeId="0" xr:uid="{184428B5-924C-4EC2-84D9-B7405ECBCE4F}">
      <text>
        <r>
          <rPr>
            <sz val="9"/>
            <color indexed="81"/>
            <rFont val="Tahoma"/>
            <family val="2"/>
          </rPr>
          <t>This value comes from the Plant &amp; Fish Production worsheet</t>
        </r>
      </text>
    </comment>
    <comment ref="F16" authorId="0" shapeId="0" xr:uid="{2C95F4DD-7880-4F9D-BE28-B299E12BE13E}">
      <text>
        <r>
          <rPr>
            <sz val="9"/>
            <color indexed="81"/>
            <rFont val="Tahoma"/>
            <family val="2"/>
          </rPr>
          <t>Seeding cost per plant x plant sewn</t>
        </r>
      </text>
    </comment>
    <comment ref="G16" authorId="0" shapeId="0" xr:uid="{28A5D2EF-D52B-4ECC-A63E-AD90F0DF61A5}">
      <text>
        <r>
          <rPr>
            <sz val="9"/>
            <color indexed="81"/>
            <rFont val="Tahoma"/>
            <family val="2"/>
          </rPr>
          <t>Comes from the Plant &amp; Fish Production worksheet</t>
        </r>
      </text>
    </comment>
    <comment ref="H16" authorId="0" shapeId="0" xr:uid="{1837166D-7332-4162-AB9F-9C3AE1B6CE44}">
      <text>
        <r>
          <rPr>
            <sz val="9"/>
            <color indexed="81"/>
            <rFont val="Tahoma"/>
            <family val="2"/>
          </rPr>
          <t>Deducts the loss rate from total plants sewn</t>
        </r>
      </text>
    </comment>
    <comment ref="K16" authorId="0" shapeId="0" xr:uid="{CC5CF4E1-5E91-4B92-941F-9195B999E9D8}">
      <text>
        <r>
          <rPr>
            <sz val="9"/>
            <color indexed="81"/>
            <rFont val="Tahoma"/>
            <family val="2"/>
          </rPr>
          <t>Based upon your market research and product distribution strategy you should select the best method in which you are going to package and sell your product from the Common Packaging Options table above</t>
        </r>
      </text>
    </comment>
    <comment ref="L16" authorId="0" shapeId="0" xr:uid="{E3EB84D5-8FF2-4524-9BF4-C59F7136DD0F}">
      <text>
        <r>
          <rPr>
            <sz val="9"/>
            <color indexed="81"/>
            <rFont val="Tahoma"/>
            <family val="2"/>
          </rPr>
          <t xml:space="preserve">It's important to select the right packaging type for the Product Sold By column. For example a 24 ct case will require a 24 ct box liner or a produce box but not a single clamshell. </t>
        </r>
      </text>
    </comment>
    <comment ref="M16" authorId="0" shapeId="0" xr:uid="{57ECB374-8878-486D-9BFE-636BD942B54A}">
      <text>
        <r>
          <rPr>
            <sz val="9"/>
            <color indexed="81"/>
            <rFont val="Tahoma"/>
            <family val="2"/>
          </rPr>
          <t>Values here will update depending on the packaging type selected in the previous column and the costs that were input in the Common Packaging Options table.</t>
        </r>
      </text>
    </comment>
    <comment ref="N16" authorId="0" shapeId="0" xr:uid="{EDD5019D-A3B2-4DAB-928A-C357DB9AB376}">
      <text>
        <r>
          <rPr>
            <sz val="9"/>
            <color indexed="81"/>
            <rFont val="Tahoma"/>
            <family val="2"/>
          </rPr>
          <t>Determines the cost per unit by looking at the Product sold by column and multiplying the count by the seeding cost per plant and then adding in the packaging cost per unit</t>
        </r>
      </text>
    </comment>
    <comment ref="O16" authorId="0" shapeId="0" xr:uid="{0F268541-2121-4548-9CA5-DF64AA354CBD}">
      <text>
        <r>
          <rPr>
            <sz val="9"/>
            <color indexed="81"/>
            <rFont val="Tahoma"/>
            <family val="2"/>
          </rPr>
          <t xml:space="preserve">Divides sellable plants by the "Product sold by" value to determine the number of units sold. </t>
        </r>
      </text>
    </comment>
    <comment ref="P16" authorId="0" shapeId="0" xr:uid="{0B66902E-A4D7-42FA-A203-C65D73616951}">
      <text>
        <r>
          <rPr>
            <sz val="9"/>
            <color indexed="81"/>
            <rFont val="Tahoma"/>
            <family val="2"/>
          </rPr>
          <t>Multiplies packaging cost per unit by the number of units sold</t>
        </r>
      </text>
    </comment>
    <comment ref="Q16" authorId="0" shapeId="0" xr:uid="{2D09B56B-B732-47BF-A266-60060C3E1EBF}">
      <text>
        <r>
          <rPr>
            <sz val="9"/>
            <color indexed="81"/>
            <rFont val="Tahoma"/>
            <family val="2"/>
          </rPr>
          <t>Input the expected sale price per unit. Be careful not to accidentally put a price per case onto a product that is sold as a single head or vice versa. These numbers should be attained via your market research and pricing strategy</t>
        </r>
      </text>
    </comment>
    <comment ref="R16" authorId="0" shapeId="0" xr:uid="{6C9FA3E4-5FF1-417B-BFDB-78E973F0D8A8}">
      <text>
        <r>
          <rPr>
            <sz val="9"/>
            <color indexed="81"/>
            <rFont val="Tahoma"/>
            <family val="2"/>
          </rPr>
          <t>6 month revenue total for the selected product</t>
        </r>
      </text>
    </comment>
    <comment ref="S31" authorId="0" shapeId="0" xr:uid="{D2A026A3-6AA1-4782-9921-EDB5CEBF3132}">
      <text>
        <r>
          <rPr>
            <sz val="9"/>
            <color indexed="81"/>
            <rFont val="Tahoma"/>
            <family val="2"/>
          </rPr>
          <t>The average monthly total is inputed into the Produce &amp; Fish sales worksheet for the 6 months representing the summer season. The same happens for the winter season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3" authorId="0" shapeId="0" xr:uid="{76B4011B-978E-46E6-8EE7-7936A1DAE246}">
      <text>
        <r>
          <rPr>
            <sz val="9"/>
            <color indexed="81"/>
            <rFont val="Tahoma"/>
            <family val="2"/>
          </rPr>
          <t>Input your standard cost per kilowatt hour rate you are charged by your electric company. This can be found on your bill. Be sure that you are selecting the rate that will be applied to your specific farm location</t>
        </r>
      </text>
    </comment>
    <comment ref="H4" authorId="0" shapeId="0" xr:uid="{DCAB735C-C1F9-43F7-9181-98D61559D778}">
      <text>
        <r>
          <rPr>
            <sz val="9"/>
            <color indexed="81"/>
            <rFont val="Tahoma"/>
            <family val="2"/>
          </rPr>
          <t>Insert the cost per therm (natural gas)</t>
        </r>
      </text>
    </comment>
    <comment ref="H5" authorId="0" shapeId="0" xr:uid="{DC4B4DF9-5FBD-4F68-8C6D-18A9B786F86B}">
      <text>
        <r>
          <rPr>
            <sz val="9"/>
            <color indexed="81"/>
            <rFont val="Tahoma"/>
            <family val="2"/>
          </rPr>
          <t>Insert cost per 1000gal water rate from your water company or provide equivalent value for well water or other source. Initial fill values may be subject to tiered rates</t>
        </r>
      </text>
    </comment>
    <comment ref="G6" authorId="0" shapeId="0" xr:uid="{05B4EDEE-7D7E-495F-8AD0-83B975830BAF}">
      <text>
        <r>
          <rPr>
            <sz val="9"/>
            <color indexed="81"/>
            <rFont val="Tahoma"/>
            <family val="2"/>
          </rPr>
          <t xml:space="preserve">Annual inflation escalator which begins in year 2 and applies to each year following. </t>
        </r>
      </text>
    </comment>
    <comment ref="G8" authorId="0" shapeId="0" xr:uid="{7704DDD1-193F-40AD-BCFB-C30AA68F4C93}">
      <text>
        <r>
          <rPr>
            <sz val="9"/>
            <color indexed="81"/>
            <rFont val="Tahoma"/>
            <family val="2"/>
          </rPr>
          <t>Starting month corresponds the first month of seeding from the Plant and Fish Production worksheet</t>
        </r>
      </text>
    </comment>
    <comment ref="B15" authorId="0" shapeId="0" xr:uid="{3AD92E8A-00C4-470A-A41E-46B1F9CB14EE}">
      <text>
        <r>
          <rPr>
            <sz val="9"/>
            <color indexed="81"/>
            <rFont val="Tahoma"/>
            <family val="2"/>
          </rPr>
          <t xml:space="preserve">Number of identical units of the given electrical device assuming all other operating parameters are equal including operating hours, days and months.  </t>
        </r>
      </text>
    </comment>
    <comment ref="D15" authorId="0" shapeId="0" xr:uid="{B46C65F5-F3E9-4DD6-A4BE-53BEB51DDBDD}">
      <text>
        <r>
          <rPr>
            <sz val="9"/>
            <color indexed="81"/>
            <rFont val="Tahoma"/>
            <family val="2"/>
          </rPr>
          <t>List the name of the electrical component</t>
        </r>
      </text>
    </comment>
    <comment ref="E15" authorId="0" shapeId="0" xr:uid="{4D74A89E-155B-4FF3-84C6-FDD1D10B0399}">
      <text>
        <r>
          <rPr>
            <sz val="9"/>
            <color indexed="81"/>
            <rFont val="Tahoma"/>
            <family val="2"/>
          </rPr>
          <t>Describe what the component is used for</t>
        </r>
      </text>
    </comment>
    <comment ref="F15" authorId="0" shapeId="0" xr:uid="{5A905773-3628-4670-961C-4ABA37F4E5AC}">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15" authorId="0" shapeId="0" xr:uid="{D5BBFA2F-0A03-4A95-879E-8954385B4842}">
      <text>
        <r>
          <rPr>
            <sz val="9"/>
            <color indexed="81"/>
            <rFont val="Tahoma"/>
            <family val="2"/>
          </rPr>
          <t xml:space="preserve">List the voltage specifications for the equipment. </t>
        </r>
      </text>
    </comment>
    <comment ref="H15" authorId="0" shapeId="0" xr:uid="{E668F72C-D5C5-429F-B894-60D91E7A64CE}">
      <text>
        <r>
          <rPr>
            <sz val="9"/>
            <color indexed="81"/>
            <rFont val="Tahoma"/>
            <family val="2"/>
          </rPr>
          <t xml:space="preserve">Divides watts by voltage to get amps. If there is more than 1 unit this will show total amp draw for all units. </t>
        </r>
      </text>
    </comment>
    <comment ref="I15" authorId="0" shapeId="0" xr:uid="{1416DD8D-5807-44D8-B1EB-07829E365B04}">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15" authorId="0" shapeId="0" xr:uid="{836D448A-1B15-437B-96F0-BC7946AD62AD}">
      <text>
        <r>
          <rPr>
            <sz val="9"/>
            <color indexed="81"/>
            <rFont val="Tahoma"/>
            <family val="2"/>
          </rPr>
          <t>Input the normal running wattage as indicated by the equipment manufacturer</t>
        </r>
      </text>
    </comment>
    <comment ref="K15" authorId="0" shapeId="0" xr:uid="{E8E0B29E-31FA-4ECA-A227-FA8148BB166A}">
      <text>
        <r>
          <rPr>
            <sz val="9"/>
            <color indexed="81"/>
            <rFont val="Tahoma"/>
            <family val="2"/>
          </rPr>
          <t>Totals running watts only by the number of units for each component</t>
        </r>
      </text>
    </comment>
    <comment ref="L15" authorId="0" shapeId="0" xr:uid="{02FDC047-B14B-43F3-9283-B2E3546E7E16}">
      <text>
        <r>
          <rPr>
            <sz val="9"/>
            <color indexed="81"/>
            <rFont val="Tahoma"/>
            <family val="2"/>
          </rPr>
          <t>Determines kilowatt hours by dividing total watts by 1000</t>
        </r>
      </text>
    </comment>
    <comment ref="M15" authorId="0" shapeId="0" xr:uid="{81259F1D-6A89-4AE9-AD1A-FCA00CA43222}">
      <text>
        <r>
          <rPr>
            <sz val="9"/>
            <color indexed="81"/>
            <rFont val="Tahoma"/>
            <family val="2"/>
          </rPr>
          <t xml:space="preserve">Multiples the Kwh column by the number of operating hours you input per day in column R </t>
        </r>
      </text>
    </comment>
    <comment ref="N15" authorId="0" shapeId="0" xr:uid="{A2001F5D-94C7-4596-B0F8-F9C0C19C415E}">
      <text>
        <r>
          <rPr>
            <sz val="9"/>
            <color indexed="81"/>
            <rFont val="Tahoma"/>
            <family val="2"/>
          </rPr>
          <t>Muliplies Daily kWh by the kWh rate entered on the top of the page</t>
        </r>
      </text>
    </comment>
    <comment ref="O15" authorId="0" shapeId="0" xr:uid="{F18D3E5E-AE64-406F-B00E-3DC0A5B99E49}">
      <text>
        <r>
          <rPr>
            <b/>
            <sz val="9"/>
            <color indexed="81"/>
            <rFont val="Tahoma"/>
            <family val="2"/>
          </rPr>
          <t>JD Sawyer:</t>
        </r>
        <r>
          <rPr>
            <sz val="9"/>
            <color indexed="81"/>
            <rFont val="Tahoma"/>
            <family val="2"/>
          </rPr>
          <t xml:space="preserve">
Multiples daily Kwh</t>
        </r>
      </text>
    </comment>
    <comment ref="R15" authorId="0" shapeId="0" xr:uid="{F56EE22C-D465-4D22-9315-3B84BE170D00}">
      <text>
        <r>
          <rPr>
            <sz val="9"/>
            <color indexed="81"/>
            <rFont val="Tahoma"/>
            <family val="2"/>
          </rPr>
          <t xml:space="preserve">Insert the estimated number of operating hours per day. </t>
        </r>
      </text>
    </comment>
    <comment ref="S15" authorId="0" shapeId="0" xr:uid="{5AD45D19-8955-46AE-8AE8-3B25D07E8818}">
      <text>
        <r>
          <rPr>
            <sz val="9"/>
            <color indexed="81"/>
            <rFont val="Tahoma"/>
            <family val="2"/>
          </rPr>
          <t>Insert the estimated number of days per week of operation</t>
        </r>
      </text>
    </comment>
    <comment ref="T15" authorId="0" shapeId="0" xr:uid="{50401224-A15F-4161-BF5E-C913F3D60D12}">
      <text>
        <r>
          <rPr>
            <sz val="9"/>
            <color indexed="81"/>
            <rFont val="Tahoma"/>
            <family val="2"/>
          </rPr>
          <t>Add a 1 for months where the power for this unit is expected to run. Add a zero for months when the unit is not expected to run</t>
        </r>
      </text>
    </comment>
    <comment ref="B28" authorId="0" shapeId="0" xr:uid="{58A5FC7A-E85C-4BE4-8B00-D1523D00C9FA}">
      <text>
        <r>
          <rPr>
            <sz val="9"/>
            <color indexed="81"/>
            <rFont val="Tahoma"/>
            <family val="2"/>
          </rPr>
          <t xml:space="preserve">Number of identical units of the given electrical device assuming all other operating parameters are equal including operating hours, days and months.  </t>
        </r>
      </text>
    </comment>
    <comment ref="D28" authorId="0" shapeId="0" xr:uid="{65E17281-D655-45A8-9823-DB414E19AEB7}">
      <text>
        <r>
          <rPr>
            <sz val="9"/>
            <color indexed="81"/>
            <rFont val="Tahoma"/>
            <family val="2"/>
          </rPr>
          <t>List the name of the electrical component</t>
        </r>
      </text>
    </comment>
    <comment ref="E28" authorId="0" shapeId="0" xr:uid="{82CF6376-A162-47C0-AD1E-13E6F49298CF}">
      <text>
        <r>
          <rPr>
            <sz val="9"/>
            <color indexed="81"/>
            <rFont val="Tahoma"/>
            <family val="2"/>
          </rPr>
          <t>Describe what the component is used for</t>
        </r>
      </text>
    </comment>
    <comment ref="F28" authorId="0" shapeId="0" xr:uid="{0EED8A38-95DF-4FB5-AA29-FC3BF6A2318A}">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28" authorId="0" shapeId="0" xr:uid="{0A1E84BC-4ABD-4240-95A5-E66295E0A5F8}">
      <text>
        <r>
          <rPr>
            <sz val="9"/>
            <color indexed="81"/>
            <rFont val="Tahoma"/>
            <family val="2"/>
          </rPr>
          <t xml:space="preserve">List the voltage specifications for the equipment. </t>
        </r>
      </text>
    </comment>
    <comment ref="H28" authorId="0" shapeId="0" xr:uid="{24519B98-AD13-4410-A707-D433F193DD98}">
      <text>
        <r>
          <rPr>
            <sz val="9"/>
            <color indexed="81"/>
            <rFont val="Tahoma"/>
            <family val="2"/>
          </rPr>
          <t xml:space="preserve">Divides watts by voltage to get amps. If there is more than 1 unit this will show total amp draw for all units. </t>
        </r>
      </text>
    </comment>
    <comment ref="I28" authorId="0" shapeId="0" xr:uid="{5E659C97-9B69-466F-90C9-63189CF4D1BB}">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28" authorId="0" shapeId="0" xr:uid="{251142EE-AFD2-4577-AA30-B5178EECFAFB}">
      <text>
        <r>
          <rPr>
            <sz val="9"/>
            <color indexed="81"/>
            <rFont val="Tahoma"/>
            <family val="2"/>
          </rPr>
          <t>Input the normal running wattage as indicated by the equipment manufacturer</t>
        </r>
      </text>
    </comment>
    <comment ref="K28" authorId="0" shapeId="0" xr:uid="{42F46FCC-3B88-4665-BC3D-36FF158ED6F3}">
      <text>
        <r>
          <rPr>
            <sz val="9"/>
            <color indexed="81"/>
            <rFont val="Tahoma"/>
            <family val="2"/>
          </rPr>
          <t>Totals running watts only by the number of units for each component</t>
        </r>
      </text>
    </comment>
    <comment ref="L28" authorId="0" shapeId="0" xr:uid="{D558E988-14E1-4E3B-9DE5-C22047B5C9A5}">
      <text>
        <r>
          <rPr>
            <sz val="9"/>
            <color indexed="81"/>
            <rFont val="Tahoma"/>
            <family val="2"/>
          </rPr>
          <t>Determines kilowatt hours by dividing total watts by 1000</t>
        </r>
      </text>
    </comment>
    <comment ref="M28" authorId="0" shapeId="0" xr:uid="{173377EF-1D52-4E3C-A4C3-B9B76ECE83D5}">
      <text>
        <r>
          <rPr>
            <sz val="9"/>
            <color indexed="81"/>
            <rFont val="Tahoma"/>
            <family val="2"/>
          </rPr>
          <t xml:space="preserve">Multiples the Kwh column by the number of operating hours you input per day in column R </t>
        </r>
      </text>
    </comment>
    <comment ref="N28" authorId="0" shapeId="0" xr:uid="{0D3D31D8-2A91-40FA-9537-90AFEB3B2610}">
      <text>
        <r>
          <rPr>
            <sz val="9"/>
            <color indexed="81"/>
            <rFont val="Tahoma"/>
            <family val="2"/>
          </rPr>
          <t>Muliplies Daily kWh by the kWh rate entered on the top of the page</t>
        </r>
      </text>
    </comment>
    <comment ref="O28" authorId="0" shapeId="0" xr:uid="{58016D93-15B7-4CC9-B065-D2B9E0D5EABD}">
      <text>
        <r>
          <rPr>
            <b/>
            <sz val="9"/>
            <color indexed="81"/>
            <rFont val="Tahoma"/>
            <family val="2"/>
          </rPr>
          <t>JD Sawyer:</t>
        </r>
        <r>
          <rPr>
            <sz val="9"/>
            <color indexed="81"/>
            <rFont val="Tahoma"/>
            <family val="2"/>
          </rPr>
          <t xml:space="preserve">
Multiples daily Kwh</t>
        </r>
      </text>
    </comment>
    <comment ref="R28" authorId="0" shapeId="0" xr:uid="{EEEF5D26-7440-482B-9AEF-5414F4F990E5}">
      <text>
        <r>
          <rPr>
            <sz val="9"/>
            <color indexed="81"/>
            <rFont val="Tahoma"/>
            <family val="2"/>
          </rPr>
          <t xml:space="preserve">Insert the estimated number of operating hours per day. </t>
        </r>
      </text>
    </comment>
    <comment ref="S28" authorId="0" shapeId="0" xr:uid="{88ABFD7D-BE02-4105-9BA3-B1187B4E9002}">
      <text>
        <r>
          <rPr>
            <sz val="9"/>
            <color indexed="81"/>
            <rFont val="Tahoma"/>
            <family val="2"/>
          </rPr>
          <t>Insert the estimated number of days per week of operation</t>
        </r>
      </text>
    </comment>
    <comment ref="T28" authorId="0" shapeId="0" xr:uid="{D15163B6-B433-49FC-A4E9-B3B44EA56B64}">
      <text>
        <r>
          <rPr>
            <sz val="9"/>
            <color indexed="81"/>
            <rFont val="Tahoma"/>
            <family val="2"/>
          </rPr>
          <t>Add a 1 for months where the power for this unit is expected to running. Add a zero for months when the unit is not expected to be running</t>
        </r>
      </text>
    </comment>
    <comment ref="B41" authorId="0" shapeId="0" xr:uid="{D706CBEE-8E12-4C58-97A2-38EB93E9E326}">
      <text>
        <r>
          <rPr>
            <sz val="9"/>
            <color indexed="81"/>
            <rFont val="Tahoma"/>
            <family val="2"/>
          </rPr>
          <t xml:space="preserve">Number of identical units of the given electrical device assuming all other operating parameters are equal including operating hours, days and months.  </t>
        </r>
      </text>
    </comment>
    <comment ref="D41" authorId="0" shapeId="0" xr:uid="{895D7CDE-EAA4-499F-A2CB-96866D85B3A5}">
      <text>
        <r>
          <rPr>
            <sz val="9"/>
            <color indexed="81"/>
            <rFont val="Tahoma"/>
            <family val="2"/>
          </rPr>
          <t>List the name of the electrical component</t>
        </r>
      </text>
    </comment>
    <comment ref="E41" authorId="0" shapeId="0" xr:uid="{6659B5B9-B080-4A9C-9F8F-CBB7FDB7E36A}">
      <text>
        <r>
          <rPr>
            <sz val="9"/>
            <color indexed="81"/>
            <rFont val="Tahoma"/>
            <family val="2"/>
          </rPr>
          <t>Describe what the component is used for</t>
        </r>
      </text>
    </comment>
    <comment ref="F41" authorId="0" shapeId="0" xr:uid="{79C766BD-2C6F-424C-8DA1-B221BC1A1470}">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41" authorId="0" shapeId="0" xr:uid="{89ED2004-A7C8-48F4-A4F3-60F3E42B75A0}">
      <text>
        <r>
          <rPr>
            <sz val="9"/>
            <color indexed="81"/>
            <rFont val="Tahoma"/>
            <family val="2"/>
          </rPr>
          <t xml:space="preserve">List the voltage specifications for the equipment. </t>
        </r>
      </text>
    </comment>
    <comment ref="H41" authorId="0" shapeId="0" xr:uid="{E943476D-9F4E-4CC9-B253-ABB651FEBDB4}">
      <text>
        <r>
          <rPr>
            <sz val="9"/>
            <color indexed="81"/>
            <rFont val="Tahoma"/>
            <family val="2"/>
          </rPr>
          <t xml:space="preserve">Divides watts by voltage to get amps. If there is more than 1 unit this will show total amp draw for all units. </t>
        </r>
      </text>
    </comment>
    <comment ref="I41" authorId="0" shapeId="0" xr:uid="{3C44ED5A-CBE3-4E3E-840D-FB0FB83D85EE}">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41" authorId="0" shapeId="0" xr:uid="{3A8E6D78-7631-4119-A6F5-188E4E5D632B}">
      <text>
        <r>
          <rPr>
            <sz val="9"/>
            <color indexed="81"/>
            <rFont val="Tahoma"/>
            <family val="2"/>
          </rPr>
          <t>Input the normal running wattage as indicated by the equipment manufacturer</t>
        </r>
      </text>
    </comment>
    <comment ref="K41" authorId="0" shapeId="0" xr:uid="{6B6A57D3-BBC9-4D39-94B3-E8C994589194}">
      <text>
        <r>
          <rPr>
            <sz val="9"/>
            <color indexed="81"/>
            <rFont val="Tahoma"/>
            <family val="2"/>
          </rPr>
          <t>Totals running watts only by the number of units for each component</t>
        </r>
      </text>
    </comment>
    <comment ref="L41" authorId="0" shapeId="0" xr:uid="{C2C13F21-9248-493F-A044-DC4E7BC29E6A}">
      <text>
        <r>
          <rPr>
            <sz val="9"/>
            <color indexed="81"/>
            <rFont val="Tahoma"/>
            <family val="2"/>
          </rPr>
          <t>Determines kilowatt hours by dividing total watts by 1000</t>
        </r>
      </text>
    </comment>
    <comment ref="M41" authorId="0" shapeId="0" xr:uid="{54E34FE9-8B7F-4F0E-89E9-0CCE985146FF}">
      <text>
        <r>
          <rPr>
            <sz val="9"/>
            <color indexed="81"/>
            <rFont val="Tahoma"/>
            <family val="2"/>
          </rPr>
          <t xml:space="preserve">Multiples the Kwh column by the number of operating hours you input per day in column R </t>
        </r>
      </text>
    </comment>
    <comment ref="N41" authorId="0" shapeId="0" xr:uid="{8BAD7455-F10F-4E6A-80B6-380225C7A506}">
      <text>
        <r>
          <rPr>
            <sz val="9"/>
            <color indexed="81"/>
            <rFont val="Tahoma"/>
            <family val="2"/>
          </rPr>
          <t>Muliplies Daily kWh by the kWh rate entered on the top of the page</t>
        </r>
      </text>
    </comment>
    <comment ref="O41" authorId="0" shapeId="0" xr:uid="{62A6F1BF-FB40-4CBE-9C90-4BF47DEFF2F1}">
      <text>
        <r>
          <rPr>
            <b/>
            <sz val="9"/>
            <color indexed="81"/>
            <rFont val="Tahoma"/>
            <family val="2"/>
          </rPr>
          <t>JD Sawyer:</t>
        </r>
        <r>
          <rPr>
            <sz val="9"/>
            <color indexed="81"/>
            <rFont val="Tahoma"/>
            <family val="2"/>
          </rPr>
          <t xml:space="preserve">
Multiples daily Kwh</t>
        </r>
      </text>
    </comment>
    <comment ref="R41" authorId="0" shapeId="0" xr:uid="{7DB8D125-D271-42E1-9354-207897CDE01E}">
      <text>
        <r>
          <rPr>
            <sz val="9"/>
            <color indexed="81"/>
            <rFont val="Tahoma"/>
            <family val="2"/>
          </rPr>
          <t xml:space="preserve">Insert the estimated number of operating hours per day. </t>
        </r>
      </text>
    </comment>
    <comment ref="S41" authorId="0" shapeId="0" xr:uid="{E17EB5F6-7EBF-46E3-BC0B-D9DFBBC7A4FD}">
      <text>
        <r>
          <rPr>
            <sz val="9"/>
            <color indexed="81"/>
            <rFont val="Tahoma"/>
            <family val="2"/>
          </rPr>
          <t>Insert the estimated number of days per week of operation</t>
        </r>
      </text>
    </comment>
    <comment ref="T41" authorId="0" shapeId="0" xr:uid="{4D9AB0FF-272D-400E-B6E3-C36B00537936}">
      <text>
        <r>
          <rPr>
            <sz val="9"/>
            <color indexed="81"/>
            <rFont val="Tahoma"/>
            <family val="2"/>
          </rPr>
          <t>Add a 1 for months where the power for this unit is expected to running. Add a zero for months when the unit is not expected to be running</t>
        </r>
      </text>
    </comment>
    <comment ref="B51" authorId="0" shapeId="0" xr:uid="{DC9BC1C1-DBED-4B5A-B7C2-6EC0BDFA9545}">
      <text>
        <r>
          <rPr>
            <sz val="9"/>
            <color indexed="81"/>
            <rFont val="Tahoma"/>
            <family val="2"/>
          </rPr>
          <t xml:space="preserve">Number of identical units of the given electrical device assuming all other operating parameters are equal including operating hours, days and months.  </t>
        </r>
      </text>
    </comment>
    <comment ref="D51" authorId="0" shapeId="0" xr:uid="{36313B39-47A9-469E-A86F-C741FEA233F8}">
      <text>
        <r>
          <rPr>
            <sz val="9"/>
            <color indexed="81"/>
            <rFont val="Tahoma"/>
            <family val="2"/>
          </rPr>
          <t>List the name of the electrical component</t>
        </r>
      </text>
    </comment>
    <comment ref="E51" authorId="0" shapeId="0" xr:uid="{383B6C42-5B9C-493B-A4CE-A5C7EB142FC2}">
      <text>
        <r>
          <rPr>
            <sz val="9"/>
            <color indexed="81"/>
            <rFont val="Tahoma"/>
            <family val="2"/>
          </rPr>
          <t>Describe what the component is used for</t>
        </r>
      </text>
    </comment>
    <comment ref="F51" authorId="0" shapeId="0" xr:uid="{981AB3D8-A165-4CDA-A440-5D8EE0C5C922}">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51" authorId="0" shapeId="0" xr:uid="{7BF90E05-633C-4751-B9AD-251436B2E409}">
      <text>
        <r>
          <rPr>
            <sz val="9"/>
            <color indexed="81"/>
            <rFont val="Tahoma"/>
            <family val="2"/>
          </rPr>
          <t xml:space="preserve">List the voltage specifications for the equipment. </t>
        </r>
      </text>
    </comment>
    <comment ref="H51" authorId="0" shapeId="0" xr:uid="{6F39A33E-BA1C-4273-AC13-56752A1A8D36}">
      <text>
        <r>
          <rPr>
            <sz val="9"/>
            <color indexed="81"/>
            <rFont val="Tahoma"/>
            <family val="2"/>
          </rPr>
          <t xml:space="preserve">Divides watts by voltage to get amps. If there is more than 1 unit this will show total amp draw for all units. </t>
        </r>
      </text>
    </comment>
    <comment ref="I51" authorId="0" shapeId="0" xr:uid="{0E5377C7-8F93-4A77-BD10-76AC71EF2B91}">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51" authorId="0" shapeId="0" xr:uid="{DED0A765-7C37-464E-8F23-704D2AEE8549}">
      <text>
        <r>
          <rPr>
            <sz val="9"/>
            <color indexed="81"/>
            <rFont val="Tahoma"/>
            <family val="2"/>
          </rPr>
          <t>Input the normal running wattage as indicated by the equipment manufacturer</t>
        </r>
      </text>
    </comment>
    <comment ref="K51" authorId="0" shapeId="0" xr:uid="{89745042-D457-42D1-9EDC-C3D61608E64B}">
      <text>
        <r>
          <rPr>
            <sz val="9"/>
            <color indexed="81"/>
            <rFont val="Tahoma"/>
            <family val="2"/>
          </rPr>
          <t>Totals running watts only by the number of units for each component</t>
        </r>
      </text>
    </comment>
    <comment ref="L51" authorId="0" shapeId="0" xr:uid="{BB2C6F3B-9918-45B7-8667-8D1E0231412D}">
      <text>
        <r>
          <rPr>
            <sz val="9"/>
            <color indexed="81"/>
            <rFont val="Tahoma"/>
            <family val="2"/>
          </rPr>
          <t>Determines kilowatt hours by dividing total watts by 1000</t>
        </r>
      </text>
    </comment>
    <comment ref="M51" authorId="0" shapeId="0" xr:uid="{A357C336-CEAF-4CDD-ADA5-BE3DE85E8EE0}">
      <text>
        <r>
          <rPr>
            <sz val="9"/>
            <color indexed="81"/>
            <rFont val="Tahoma"/>
            <family val="2"/>
          </rPr>
          <t xml:space="preserve">Multiples the Kwh column by the number of operating hours you input per day in column R </t>
        </r>
      </text>
    </comment>
    <comment ref="N51" authorId="0" shapeId="0" xr:uid="{C501088C-D3A3-4922-82A3-E1C0009790D9}">
      <text>
        <r>
          <rPr>
            <sz val="9"/>
            <color indexed="81"/>
            <rFont val="Tahoma"/>
            <family val="2"/>
          </rPr>
          <t>Muliplies Daily kWh by the kWh rate entered on the top of the page</t>
        </r>
      </text>
    </comment>
    <comment ref="O51" authorId="0" shapeId="0" xr:uid="{E5C25790-5BC9-42DD-934D-3F4B9C799912}">
      <text>
        <r>
          <rPr>
            <b/>
            <sz val="9"/>
            <color indexed="81"/>
            <rFont val="Tahoma"/>
            <family val="2"/>
          </rPr>
          <t>JD Sawyer:</t>
        </r>
        <r>
          <rPr>
            <sz val="9"/>
            <color indexed="81"/>
            <rFont val="Tahoma"/>
            <family val="2"/>
          </rPr>
          <t xml:space="preserve">
Multiples daily Kwh</t>
        </r>
      </text>
    </comment>
    <comment ref="R51" authorId="0" shapeId="0" xr:uid="{A9539398-21FA-44B8-BD88-D5A10BF651A5}">
      <text>
        <r>
          <rPr>
            <sz val="9"/>
            <color indexed="81"/>
            <rFont val="Tahoma"/>
            <family val="2"/>
          </rPr>
          <t xml:space="preserve">Insert the estimated number of operating hours per day. </t>
        </r>
      </text>
    </comment>
    <comment ref="S51" authorId="0" shapeId="0" xr:uid="{3C13A784-4529-4164-932E-C1DE2AB0016D}">
      <text>
        <r>
          <rPr>
            <sz val="9"/>
            <color indexed="81"/>
            <rFont val="Tahoma"/>
            <family val="2"/>
          </rPr>
          <t>Insert the estimated number of days per week of operation</t>
        </r>
      </text>
    </comment>
    <comment ref="T51" authorId="0" shapeId="0" xr:uid="{F8DF1ADF-6A4B-4AD4-8D9B-F2CCC33344CB}">
      <text>
        <r>
          <rPr>
            <sz val="9"/>
            <color indexed="81"/>
            <rFont val="Tahoma"/>
            <family val="2"/>
          </rPr>
          <t>Add a 1 for months where the power for this unit is expected to running. Add a zero for months when the unit is not expected to be running</t>
        </r>
      </text>
    </comment>
    <comment ref="E75" authorId="0" shapeId="0" xr:uid="{8E2E2DA7-8448-45D1-9C14-56E30227A310}">
      <text>
        <r>
          <rPr>
            <sz val="9"/>
            <color indexed="81"/>
            <rFont val="Tahoma"/>
            <family val="2"/>
          </rPr>
          <t xml:space="preserve">This number represents a percentage of the total system water that is expected to be lost to evaporation and transipration each month and will need to be replaced. This number can be variable depending on the time of year, climate, humidity and other factors.  </t>
        </r>
      </text>
    </comment>
    <comment ref="E79" authorId="0" shapeId="0" xr:uid="{A328A2D7-3F77-49F3-83EA-118D7921B565}">
      <text>
        <r>
          <rPr>
            <sz val="9"/>
            <color indexed="81"/>
            <rFont val="Tahoma"/>
            <family val="2"/>
          </rPr>
          <t>This value will factor into your first month operating cost for filling the system. Following that, the monthly top off value will represent the amount of water you would be charged for each month</t>
        </r>
      </text>
    </comment>
    <comment ref="E80" authorId="0" shapeId="0" xr:uid="{13AC4820-ACF5-4C1F-82A2-15256FEB03C1}">
      <text>
        <r>
          <rPr>
            <sz val="9"/>
            <color indexed="81"/>
            <rFont val="Tahoma"/>
            <family val="2"/>
          </rPr>
          <t>Avg. monthly top off x 12 months</t>
        </r>
      </text>
    </comment>
    <comment ref="D83" authorId="0" shapeId="0" xr:uid="{B7B3FE0C-8C58-4046-9A31-1B37DA702FC8}">
      <text>
        <r>
          <rPr>
            <sz val="9"/>
            <color indexed="81"/>
            <rFont val="Tahoma"/>
            <family val="2"/>
          </rPr>
          <t>Input the date of the last billing cycle</t>
        </r>
      </text>
    </comment>
    <comment ref="E83" authorId="0" shapeId="0" xr:uid="{36046486-DC3A-4F5A-8DD1-553A2DB246FD}">
      <text>
        <r>
          <rPr>
            <sz val="9"/>
            <color indexed="81"/>
            <rFont val="Tahoma"/>
            <family val="2"/>
          </rPr>
          <t>Input the month value for the billing period. Jan = 1, Dec = 12</t>
        </r>
      </text>
    </comment>
    <comment ref="F83" authorId="0" shapeId="0" xr:uid="{B2AA4BBA-30BE-4728-B5D4-278CE71714BC}">
      <text>
        <r>
          <rPr>
            <sz val="9"/>
            <color indexed="81"/>
            <rFont val="Tahoma"/>
            <family val="2"/>
          </rPr>
          <t>Input the meter reading from the bill</t>
        </r>
      </text>
    </comment>
    <comment ref="G83" authorId="0" shapeId="0" xr:uid="{739ECC50-45B9-49C5-92F8-999D8380C947}">
      <text>
        <r>
          <rPr>
            <sz val="9"/>
            <color indexed="81"/>
            <rFont val="Tahoma"/>
            <family val="2"/>
          </rPr>
          <t xml:space="preserve">Calculates difference in consumption between the previous months billing cycle and this month. </t>
        </r>
      </text>
    </comment>
    <comment ref="I83" authorId="0" shapeId="0" xr:uid="{1E199AB9-C5E2-47D8-BBA1-FFCBB926FD2F}">
      <text>
        <r>
          <rPr>
            <sz val="9"/>
            <color indexed="81"/>
            <rFont val="Tahoma"/>
            <family val="2"/>
          </rPr>
          <t>Calculates the difference between the billing dates inputed in column D</t>
        </r>
      </text>
    </comment>
    <comment ref="J83" authorId="0" shapeId="0" xr:uid="{98AF9876-5B10-4FDC-A595-DC10877B1CF4}">
      <text>
        <r>
          <rPr>
            <sz val="9"/>
            <color indexed="81"/>
            <rFont val="Tahoma"/>
            <family val="2"/>
          </rPr>
          <t>Divides total consumption in Therms by the Days since last reading value</t>
        </r>
      </text>
    </comment>
    <comment ref="K83" authorId="0" shapeId="0" xr:uid="{A2108801-EBAC-4CCE-AFE1-ADCADCCB011D}">
      <text>
        <r>
          <rPr>
            <sz val="9"/>
            <color indexed="81"/>
            <rFont val="Tahoma"/>
            <family val="2"/>
          </rPr>
          <t>Calculates the $ per day based upon your cost per therm inputed at the top of the worksheet</t>
        </r>
      </text>
    </comment>
    <comment ref="L83" authorId="0" shapeId="0" xr:uid="{ED8BE565-A9D9-4AD1-AB04-34A75C44578C}">
      <text>
        <r>
          <rPr>
            <sz val="9"/>
            <color indexed="81"/>
            <rFont val="Tahoma"/>
            <family val="2"/>
          </rPr>
          <t>Since meter readings and billing cycles can be inconsistent, this column normalizes the cost per month by multiplying cost per day by 30 days. The values in this column are projected into the monthly operating budget and can also been seen in the Energy Comparison table</t>
        </r>
      </text>
    </comment>
    <comment ref="H84" authorId="0" shapeId="0" xr:uid="{080F485D-22E0-45F8-B661-AD05CB86583E}">
      <text>
        <r>
          <rPr>
            <sz val="9"/>
            <color indexed="81"/>
            <rFont val="Tahoma"/>
            <family val="2"/>
          </rPr>
          <t xml:space="preserve">Converts total consumption to therms, check your statement for accuracy as conversion factors could be different.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C11" authorId="0" shapeId="0" xr:uid="{ED012071-50AA-45D0-9CCF-FAD8E9ACD6A6}">
      <text>
        <r>
          <rPr>
            <sz val="9"/>
            <color indexed="81"/>
            <rFont val="Tahoma"/>
            <family val="2"/>
          </rPr>
          <t xml:space="preserve">First month of seeding comes from the Plant and Fish Production worksheet. 
</t>
        </r>
      </text>
    </comment>
    <comment ref="E12" authorId="0" shapeId="0" xr:uid="{3A614716-2C26-4C86-B729-15A08B29E7EE}">
      <text>
        <r>
          <rPr>
            <b/>
            <sz val="9"/>
            <color indexed="81"/>
            <rFont val="Tahoma"/>
            <family val="2"/>
          </rPr>
          <t>JD Sawyer:</t>
        </r>
        <r>
          <rPr>
            <sz val="9"/>
            <color indexed="81"/>
            <rFont val="Tahoma"/>
            <family val="2"/>
          </rPr>
          <t xml:space="preserve">
See startup curve notes above</t>
        </r>
      </text>
    </comment>
    <comment ref="B29" authorId="0" shapeId="0" xr:uid="{58543A67-1DD2-4595-A6FE-E92F13E0EED6}">
      <text>
        <r>
          <rPr>
            <sz val="9"/>
            <color indexed="81"/>
            <rFont val="Tahoma"/>
            <family val="2"/>
          </rPr>
          <t>Revenue values come from the Rev &amp; COGS worksheet. Your first month of fish revenue will be a function of the number of months from fingerling to harvest that was entered into the Growout Period cell in the Plant and Fish Production Worksheet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P15" authorId="0" shapeId="0" xr:uid="{B5C58D27-66EE-4C7F-824F-752AA406792D}">
      <text>
        <r>
          <rPr>
            <sz val="9"/>
            <color indexed="81"/>
            <rFont val="Tahoma"/>
            <family val="2"/>
          </rPr>
          <t xml:space="preserve">If positions are full time then no end month needs to be specified. If positions are part time, set a start and end month. The end month is not a paid month. Pay is finished at the end of the previous month. </t>
        </r>
      </text>
    </comment>
    <comment ref="F16" authorId="0" shapeId="0" xr:uid="{F06C254E-9AA2-4422-A8B2-242B5E186282}">
      <text>
        <r>
          <rPr>
            <sz val="9"/>
            <color indexed="81"/>
            <rFont val="Tahoma"/>
            <family val="2"/>
          </rPr>
          <t>Does not account for employee witholdings</t>
        </r>
      </text>
    </comment>
    <comment ref="I17" authorId="0" shapeId="0" xr:uid="{99513E77-392D-4598-A2E1-87B0A4BEBCD3}">
      <text>
        <r>
          <rPr>
            <sz val="9"/>
            <color indexed="81"/>
            <rFont val="Tahoma"/>
            <family val="2"/>
          </rPr>
          <t xml:space="preserve">Total of Federal, SS, Medicaid and unemployment taxes as a % of total income. 
</t>
        </r>
      </text>
    </comment>
    <comment ref="J17" authorId="0" shapeId="0" xr:uid="{B06B6CD9-F61D-4D66-90FE-1DABF6B0392A}">
      <text>
        <r>
          <rPr>
            <sz val="9"/>
            <color indexed="81"/>
            <rFont val="Tahoma"/>
            <family val="2"/>
          </rPr>
          <t xml:space="preserve">Includes state, county and local taxes as a percent of employee income.
</t>
        </r>
      </text>
    </comment>
    <comment ref="K17" authorId="0" shapeId="0" xr:uid="{20A8B401-028E-4168-A4E5-D83386E6E363}">
      <text>
        <r>
          <rPr>
            <sz val="9"/>
            <color indexed="81"/>
            <rFont val="Tahoma"/>
            <family val="2"/>
          </rPr>
          <t>Workers comp calaculated based on job description/risk. Check with your insurance company for rates</t>
        </r>
      </text>
    </comment>
    <comment ref="L17" authorId="0" shapeId="0" xr:uid="{DF71A798-C8EE-4A5B-8ED7-09A98DFCC40F}">
      <text>
        <r>
          <rPr>
            <sz val="9"/>
            <color indexed="81"/>
            <rFont val="Tahoma"/>
            <family val="2"/>
          </rPr>
          <t>State unemployment taxes. Calculated by the state annually</t>
        </r>
      </text>
    </comment>
    <comment ref="M17" authorId="0" shapeId="0" xr:uid="{A604C72A-2052-43A5-A963-F26462A3357F}">
      <text>
        <r>
          <rPr>
            <sz val="9"/>
            <color indexed="81"/>
            <rFont val="Tahoma"/>
            <family val="2"/>
          </rPr>
          <t xml:space="preserve">Any employer provided benefits such as health care and retirement plans. </t>
        </r>
      </text>
    </comment>
    <comment ref="A37" authorId="0" shapeId="0" xr:uid="{B24EBC64-43EC-4399-A8F7-D7024F3F33B2}">
      <text>
        <r>
          <rPr>
            <sz val="9"/>
            <color indexed="81"/>
            <rFont val="Tahoma"/>
            <family val="2"/>
          </rPr>
          <t xml:space="preserve">Add in any employee training projected expenses in the employee training area.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A18" authorId="0" shapeId="0" xr:uid="{3C53AAA1-A195-4F26-9F81-47709FE82216}">
      <text>
        <r>
          <rPr>
            <sz val="9"/>
            <color indexed="81"/>
            <rFont val="Tahoma"/>
            <family val="2"/>
          </rPr>
          <t>Can include accidents, food recall, spoilage, processing, riders for space rental, farmer's markets, additional insured</t>
        </r>
      </text>
    </comment>
    <comment ref="A27" authorId="0" shapeId="0" xr:uid="{4D654CF7-732C-4DBD-A451-5ADB93676ECC}">
      <text>
        <r>
          <rPr>
            <sz val="9"/>
            <color indexed="81"/>
            <rFont val="Tahoma"/>
            <family val="2"/>
          </rPr>
          <t>Payment percentage charged from merchant processors such as: Paypal, Square, Stripe, Authorize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200-000001000000}">
      <text>
        <r>
          <rPr>
            <sz val="10"/>
            <color rgb="FF000000"/>
            <rFont val="Arial"/>
            <family val="2"/>
          </rPr>
          <t xml:space="preserve">Represents month of first seeding
</t>
        </r>
      </text>
    </comment>
  </commentList>
</comments>
</file>

<file path=xl/sharedStrings.xml><?xml version="1.0" encoding="utf-8"?>
<sst xmlns="http://schemas.openxmlformats.org/spreadsheetml/2006/main" count="1458" uniqueCount="968">
  <si>
    <t xml:space="preserve">Farm Summary Information </t>
  </si>
  <si>
    <t>Summer Season</t>
  </si>
  <si>
    <t>Product</t>
  </si>
  <si>
    <t>Growing Environment</t>
  </si>
  <si>
    <t>Annual</t>
  </si>
  <si>
    <t>Monthly avg.</t>
  </si>
  <si>
    <t>Weekly avg.</t>
  </si>
  <si>
    <t>Total Lbs</t>
  </si>
  <si>
    <t>Fish Stocking and Feed Summary</t>
  </si>
  <si>
    <t>Growasis DWC (# of plants)</t>
  </si>
  <si>
    <t>Total feed required based upon nutrient requirements of plant system</t>
  </si>
  <si>
    <t>Media Beds (lbs of product)</t>
  </si>
  <si>
    <t>Target average harvest weight of the selected species</t>
  </si>
  <si>
    <t>Microgreens (# of flats)</t>
  </si>
  <si>
    <t>2 Year Monthly Cashflow</t>
  </si>
  <si>
    <r>
      <rPr>
        <b/>
        <sz val="10"/>
        <rFont val="Arial"/>
        <family val="2"/>
      </rPr>
      <t>Updated</t>
    </r>
    <r>
      <rPr>
        <sz val="10"/>
        <color rgb="FF000000"/>
        <rFont val="Arial"/>
        <family val="2"/>
      </rPr>
      <t xml:space="preserve">: </t>
    </r>
  </si>
  <si>
    <t>By:</t>
  </si>
  <si>
    <t>JDS</t>
  </si>
  <si>
    <t xml:space="preserve">Input data into the blue cells only. </t>
  </si>
  <si>
    <t>Summary</t>
  </si>
  <si>
    <t>Disclaimer</t>
  </si>
  <si>
    <t>Year 2</t>
  </si>
  <si>
    <t>The authors of this spreadsheet assume no responsibility and are not liable for it's results or the performance of the actual farm and business.</t>
  </si>
  <si>
    <t>Revenue</t>
  </si>
  <si>
    <t>Fish live weight (lbs)</t>
  </si>
  <si>
    <t>Stocking Rate of fish per tank</t>
  </si>
  <si>
    <t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t>
  </si>
  <si>
    <t>Will depend on species</t>
  </si>
  <si>
    <t>Produce Sales</t>
  </si>
  <si>
    <t>Each tank will contain a unique age cohort of fish roughly separated in age by the restocking frequency</t>
  </si>
  <si>
    <t>Once the adult cohort is harvested, the empty tank becomes the new fingerling tank. Actual grow out period and restocking frequency will vary by species, feed rate and other water quality factors affecting fish health and growth</t>
  </si>
  <si>
    <t>Year 1</t>
  </si>
  <si>
    <t>Year 3</t>
  </si>
  <si>
    <t>Year 4</t>
  </si>
  <si>
    <t xml:space="preserve">This would be the weight of all fish in the adult tank at their full harvest weight. We recommend taking small partial harvests as opposed to harvesting all of the fish at once. </t>
  </si>
  <si>
    <t>Based upon the weight per harvest and the stocking density</t>
  </si>
  <si>
    <t>Fish Sales</t>
  </si>
  <si>
    <t>Average target harvest weight multiplied by the number of fish</t>
  </si>
  <si>
    <t>Misc - Other</t>
  </si>
  <si>
    <t>Gross Revenue</t>
  </si>
  <si>
    <t>Executive Summary Cash Flow</t>
  </si>
  <si>
    <t>COGS</t>
  </si>
  <si>
    <t>Fish Feed and Fingerlings</t>
  </si>
  <si>
    <t>Projected Cash Inflows</t>
  </si>
  <si>
    <t>Produce sales</t>
  </si>
  <si>
    <t>Winter Season</t>
  </si>
  <si>
    <t xml:space="preserve">Misc. Other </t>
  </si>
  <si>
    <t>Total Cash inflows</t>
  </si>
  <si>
    <t>Projected Cash Outflows</t>
  </si>
  <si>
    <t>Total COGS</t>
  </si>
  <si>
    <t>Distribution</t>
  </si>
  <si>
    <t>Gross Profit</t>
  </si>
  <si>
    <t>Operating Costs</t>
  </si>
  <si>
    <t>Total Cash outflows</t>
  </si>
  <si>
    <t>Plant and IPM Supplies</t>
  </si>
  <si>
    <t>Operating Profit (EBITDA)</t>
  </si>
  <si>
    <t>Nutrients and Adjusters</t>
  </si>
  <si>
    <t>Office Supplies</t>
  </si>
  <si>
    <t>Gross Profit Margin %</t>
  </si>
  <si>
    <t xml:space="preserve">Capital Summary </t>
  </si>
  <si>
    <t>Utilities/Energy</t>
  </si>
  <si>
    <t>Loan Calculator</t>
  </si>
  <si>
    <t>Employee Training</t>
  </si>
  <si>
    <t>Categories</t>
  </si>
  <si>
    <t>Insurance</t>
  </si>
  <si>
    <t>Cost</t>
  </si>
  <si>
    <t>Lease</t>
  </si>
  <si>
    <t>Loan Amount</t>
  </si>
  <si>
    <t>Charitable Contributions</t>
  </si>
  <si>
    <t>Bad Debts/Write Offs</t>
  </si>
  <si>
    <t>Professional Services</t>
  </si>
  <si>
    <t>Interest Rate</t>
  </si>
  <si>
    <t>Bank Fees</t>
  </si>
  <si>
    <t>Debt Service</t>
  </si>
  <si>
    <t>Total Operating Costs</t>
  </si>
  <si>
    <t>Term (years)</t>
  </si>
  <si>
    <t>Monthly Payment</t>
  </si>
  <si>
    <t>Subtotal Capital</t>
  </si>
  <si>
    <t>Contingency @ 10%</t>
  </si>
  <si>
    <t>Net Present Value</t>
  </si>
  <si>
    <t>Building and Equipment Capital</t>
  </si>
  <si>
    <t xml:space="preserve">Working Capital </t>
  </si>
  <si>
    <t>Avg Annual return from cash flow (starting yr2)</t>
  </si>
  <si>
    <t>NPV considers the time value of money, translating future cash flows into today’s dollars and provides a concrete number that managers can use to easily compare an initial outlay of cash against the present value of the return.</t>
  </si>
  <si>
    <t>Discount Rate</t>
  </si>
  <si>
    <t xml:space="preserve">Estimate based upon the size of the system, planting density, projected weekly rotation and harvest volume determined on the plant and fish production page. </t>
  </si>
  <si>
    <t>Initial Investment</t>
  </si>
  <si>
    <t>Return to capital</t>
  </si>
  <si>
    <t>Rounded up number of total flats to seed weekly</t>
  </si>
  <si>
    <t xml:space="preserve">Total Capital </t>
  </si>
  <si>
    <t>Net Income</t>
  </si>
  <si>
    <t>Analysis</t>
  </si>
  <si>
    <t>Harvests to Product Price Table</t>
  </si>
  <si>
    <t xml:space="preserve">The following table is based upon a range of production values relative to annual harvests from the DWC system. A range of hypothetical product prices per head is shown across the top. Cells in green illustrate the wide range of potential revenues a farm can theoretically have based upon price vs. annual harvests. In other words two identical farms can perform much differently depending on a variety of factors listed below. Product Turn Time represents the time from which the transplant was planted into the main DWC troughs to when it was harvested. </t>
  </si>
  <si>
    <t>DWC - Avg. $/plant</t>
  </si>
  <si>
    <t>Annual Harvests</t>
  </si>
  <si>
    <t>Projected Annual Plants</t>
  </si>
  <si>
    <t>Avg. culture time (weeks)</t>
  </si>
  <si>
    <t>Annual Heads</t>
  </si>
  <si>
    <t>Weekly Heads</t>
  </si>
  <si>
    <t>Annual Harvests Depends on factors such as:</t>
  </si>
  <si>
    <t>Product Price Depends On Factors such as:</t>
  </si>
  <si>
    <t xml:space="preserve">Operator motivation </t>
  </si>
  <si>
    <t>Seasonality/Light</t>
  </si>
  <si>
    <t>Food safety controls</t>
  </si>
  <si>
    <t>Backup systems</t>
  </si>
  <si>
    <t>Market strategy</t>
  </si>
  <si>
    <t>Market pricing</t>
  </si>
  <si>
    <t>Customer acceptance</t>
  </si>
  <si>
    <t>Location</t>
  </si>
  <si>
    <t>Distribution plan</t>
  </si>
  <si>
    <t>Microgreens $/Flat</t>
  </si>
  <si>
    <t>Quality of nutrients</t>
  </si>
  <si>
    <t>Quality of starts</t>
  </si>
  <si>
    <t>Plant rotation management</t>
  </si>
  <si>
    <t>Species of plants</t>
  </si>
  <si>
    <t>Competition</t>
  </si>
  <si>
    <t>Quality of product</t>
  </si>
  <si>
    <t>Cost to produce</t>
  </si>
  <si>
    <t>Labor and time</t>
  </si>
  <si>
    <t>Seasonality</t>
  </si>
  <si>
    <t>Projected Annual Flats</t>
  </si>
  <si>
    <t>Environmental controls</t>
  </si>
  <si>
    <t>Pest management</t>
  </si>
  <si>
    <t>Risk Management</t>
  </si>
  <si>
    <t>Monitoring and control systems</t>
  </si>
  <si>
    <t>Combined Revenues</t>
  </si>
  <si>
    <t>Net Income Scenarios</t>
  </si>
  <si>
    <t>Startup Costs</t>
  </si>
  <si>
    <t>Category Total</t>
  </si>
  <si>
    <t>Cost per sq ft</t>
  </si>
  <si>
    <t>Greenhouse</t>
  </si>
  <si>
    <t>Description</t>
  </si>
  <si>
    <t>Greenhouse Cost</t>
  </si>
  <si>
    <t>Natural Gas</t>
  </si>
  <si>
    <t>Electricity</t>
  </si>
  <si>
    <t>Environmental Controls</t>
  </si>
  <si>
    <t>You will need an environmental control system to manage the greenhouse heating and cooling systems. This may be included in the price of your greenhouse</t>
  </si>
  <si>
    <t>Energy</t>
  </si>
  <si>
    <t>Mechanical Systems</t>
  </si>
  <si>
    <t>Fans, Vents, shade cloth, cooling pads, heaters. These items may already be included in the base price of the greenhouse</t>
  </si>
  <si>
    <t>Backup Generator</t>
  </si>
  <si>
    <t>This should be quoted by an electrical engineer based upon required 24/7 equipment load noted in the electrical plan</t>
  </si>
  <si>
    <t>Solar hot water system</t>
  </si>
  <si>
    <t>Additional renewable energy systems could be integrated and priced here</t>
  </si>
  <si>
    <t>Mth</t>
  </si>
  <si>
    <t>Head House</t>
  </si>
  <si>
    <t>Cost of separate building or attached structure that contains fish, office space, cold storage or performs some addition function related to the farm</t>
  </si>
  <si>
    <t>Aquaponic System</t>
  </si>
  <si>
    <t>Total Gas</t>
  </si>
  <si>
    <t>Greenhouse Shipping</t>
  </si>
  <si>
    <t>Highly variable depending on location and building scale</t>
  </si>
  <si>
    <t>Greenhouse Installation</t>
  </si>
  <si>
    <t xml:space="preserve">Cost to install the building if hiring outside contractors or even if you are doing it yourself you can assess this cost here. </t>
  </si>
  <si>
    <t>Lighting</t>
  </si>
  <si>
    <t>Misc Equip</t>
  </si>
  <si>
    <t>Total Electric</t>
  </si>
  <si>
    <t>Gas</t>
  </si>
  <si>
    <t>$ per therm</t>
  </si>
  <si>
    <t>Jan</t>
  </si>
  <si>
    <t>Aquaponics Kit</t>
  </si>
  <si>
    <t>The main aquaponic system including fish tanks, filtration system, plant production systems, aeration, plumbing components, pumps and other equipment provided by the supplier</t>
  </si>
  <si>
    <t>Water Heating System</t>
  </si>
  <si>
    <t xml:space="preserve">Heaters can be electrical, natural gas or propane, wood or other alternative heating source. </t>
  </si>
  <si>
    <t>Installation</t>
  </si>
  <si>
    <t>Cost to install the aquaponic system and optional components</t>
  </si>
  <si>
    <t>Artificial Lighting</t>
  </si>
  <si>
    <t>Cost to include artificial lighting systems, lights, controllers, timers and installation can all be included here</t>
  </si>
  <si>
    <t>Water</t>
  </si>
  <si>
    <t>Fish Purge System</t>
  </si>
  <si>
    <t>A separate system designed for the purging of fish before sale</t>
  </si>
  <si>
    <t>Quarantine System</t>
  </si>
  <si>
    <t>A separate system designed for monitoring fingerlings before introduction into the production system</t>
  </si>
  <si>
    <t>Feb</t>
  </si>
  <si>
    <t>Monitoring and Control Systems</t>
  </si>
  <si>
    <t>A system to monitor key parameters such as power, air or water flow that can alert an operator in the event of a unsatisfactory condition</t>
  </si>
  <si>
    <t>Breeding Tank/System</t>
  </si>
  <si>
    <t>A system to breed fish on site</t>
  </si>
  <si>
    <t>City and County Entitlement</t>
  </si>
  <si>
    <t>esc</t>
  </si>
  <si>
    <t>Site Survey</t>
  </si>
  <si>
    <t>Site elevation, easements, utility locates, building envelope, curb and gutter, right of way</t>
  </si>
  <si>
    <t>Mar</t>
  </si>
  <si>
    <t xml:space="preserve">Civil and Environmental Engineering </t>
  </si>
  <si>
    <t>Drainage, foundations, site improvements, grading, soil testing and remediation work</t>
  </si>
  <si>
    <t>Architectural Design Plans</t>
  </si>
  <si>
    <t>Design Development work required for site, building and infrastructure</t>
  </si>
  <si>
    <t>Utility Service Determination/Locates</t>
  </si>
  <si>
    <t>Access to water, sewer, electrical, gas, internet, phone services</t>
  </si>
  <si>
    <t>Water Review</t>
  </si>
  <si>
    <t>Location of water, usage restrictions, lab testing, refresh rate, flow rate</t>
  </si>
  <si>
    <t>Pre Application Fees</t>
  </si>
  <si>
    <t>Fee pays to review plans with city and/or county</t>
  </si>
  <si>
    <t>Entitlement Fees</t>
  </si>
  <si>
    <t>Additional fees for meetings, board review</t>
  </si>
  <si>
    <t>Site Development</t>
  </si>
  <si>
    <t>Land acquisition cost</t>
  </si>
  <si>
    <t>Cost to purchase the property</t>
  </si>
  <si>
    <t>Site Grading</t>
  </si>
  <si>
    <t>Site leveling and preparation for foundation</t>
  </si>
  <si>
    <t>Foundation and Slab Work</t>
  </si>
  <si>
    <t>Cost to pour foundations and slab as determined by the building plans</t>
  </si>
  <si>
    <t>Drainage</t>
  </si>
  <si>
    <t>Building and site drainage work</t>
  </si>
  <si>
    <t>Landscaping</t>
  </si>
  <si>
    <t>Apr</t>
  </si>
  <si>
    <t>Any landscaping work to be completed around the building and property</t>
  </si>
  <si>
    <t>Road Access</t>
  </si>
  <si>
    <t>Cost to bring in or develop roads, access, curb cuts</t>
  </si>
  <si>
    <t>Plant and Fish Production Worksheet</t>
  </si>
  <si>
    <t>Parking Lots</t>
  </si>
  <si>
    <t>Cost to develop required parking spaces</t>
  </si>
  <si>
    <t>Security Fencing</t>
  </si>
  <si>
    <t xml:space="preserve">Cost to install perimeter fencing </t>
  </si>
  <si>
    <t>Water Tap/Service</t>
  </si>
  <si>
    <t>Cost to bring in a municipal water tap or access well water</t>
  </si>
  <si>
    <t>Electrical and Gas Service to Facility</t>
  </si>
  <si>
    <t>Cost to bring in the required electrical and gas service mains to building</t>
  </si>
  <si>
    <t>Electrical wiring in building</t>
  </si>
  <si>
    <t xml:space="preserve">Cost to install interior electrical systems, lighting, controller and mech </t>
  </si>
  <si>
    <t>Building Permits</t>
  </si>
  <si>
    <t xml:space="preserve">% of Building construction </t>
  </si>
  <si>
    <t>Monthly</t>
  </si>
  <si>
    <t>General Contractor Fees</t>
  </si>
  <si>
    <t>Mechanical/Electrical Contractors</t>
  </si>
  <si>
    <t>FF&amp;E</t>
  </si>
  <si>
    <t>Office furniture and equipment</t>
  </si>
  <si>
    <t>(Jan = 1 thru Dec = 12)</t>
  </si>
  <si>
    <t>Desk, computers, printers, chairs, file cabinets, supply cabinets</t>
  </si>
  <si>
    <t>Shelving racks</t>
  </si>
  <si>
    <t>Used for storage of food products to keep off the ground, and any other storage needs</t>
  </si>
  <si>
    <t>Lockable storage cabinet</t>
  </si>
  <si>
    <t>Used to store nutrients, adjusters, pest regiments</t>
  </si>
  <si>
    <t>May</t>
  </si>
  <si>
    <t>Security System</t>
  </si>
  <si>
    <t>Building security system, such as door alarms, central monitoring, cameras</t>
  </si>
  <si>
    <t>Farm work surfaces</t>
  </si>
  <si>
    <t>Stainless steel tables for lab testing, harvesting and prep</t>
  </si>
  <si>
    <t>Hand washing sink</t>
  </si>
  <si>
    <t>Sink for handwashing and food safety</t>
  </si>
  <si>
    <t>Delivery Vehicle</t>
  </si>
  <si>
    <t>Only if you are actively delivering product to customers</t>
  </si>
  <si>
    <t>Farm signage/wayfinding</t>
  </si>
  <si>
    <t>Any large one time purchases for building or site signage</t>
  </si>
  <si>
    <t>Farm stereo</t>
  </si>
  <si>
    <t>Tunes are nice to have in the farm</t>
  </si>
  <si>
    <t>Folding tables and chairs</t>
  </si>
  <si>
    <t>Important if you are running classes or events</t>
  </si>
  <si>
    <t>Farm Supplies</t>
  </si>
  <si>
    <t xml:space="preserve">Gas </t>
  </si>
  <si>
    <t>Plants</t>
  </si>
  <si>
    <t>Jun</t>
  </si>
  <si>
    <t>Crops</t>
  </si>
  <si>
    <t>% of DWC</t>
  </si>
  <si>
    <t>Plants per raft</t>
  </si>
  <si>
    <t>Total Plants</t>
  </si>
  <si>
    <t>Culture Time (wks)</t>
  </si>
  <si>
    <t>Loss Rate</t>
  </si>
  <si>
    <t>Net Plants</t>
  </si>
  <si>
    <t>Jul</t>
  </si>
  <si>
    <t>Seeds</t>
  </si>
  <si>
    <t>Romaine</t>
  </si>
  <si>
    <t>Seeds for production plants or microgreens</t>
  </si>
  <si>
    <t>Plants purchased for growing or propagation</t>
  </si>
  <si>
    <t>Plug Trays &amp; planting Media</t>
  </si>
  <si>
    <t>Preformed nursery plug trays for seeding or propagating large numbers of plants. Sold by the pallet for best pricing. Shipping expenses can be very costly.</t>
  </si>
  <si>
    <t>Aug</t>
  </si>
  <si>
    <t>Microgreen trays</t>
  </si>
  <si>
    <t>10’x10” or 10”x20” slotted nursery trays to plant microgreens. Usually purchased in groups of 100.</t>
  </si>
  <si>
    <t>Vermiculite, Coco coir, perlite, fabric matting</t>
  </si>
  <si>
    <t>Media used to germinate seed for microgreens Media may also be used to pack plug trays when preformed trays are not available</t>
  </si>
  <si>
    <t>Plant markers</t>
  </si>
  <si>
    <t>Plastic or wooden stick, printed label, tape or white paint marker used to label, number and date nursery trays and microgreens</t>
  </si>
  <si>
    <t>Calcium Carbonate or Calcium Hydroxide</t>
  </si>
  <si>
    <t>Used to increase and buffer pH up and supply calcium to plants, Calcium carbonate may have a longer pH buffering capacity, calcium hydroxide will be a faster pH shift. Calcium may not need to be added if system water pH is above 7.0.</t>
  </si>
  <si>
    <t>Chelated Iron DTPA 10-11%</t>
  </si>
  <si>
    <t>Used to supplement iron</t>
  </si>
  <si>
    <t>Potassium Hydroxide or Potassium bicarbonate</t>
  </si>
  <si>
    <t>Used to increase and buffer pH up and supply potassium to plants. Potassium may not need to be added if system water pH is above 7.0.</t>
  </si>
  <si>
    <t>Phosphoric Acid</t>
  </si>
  <si>
    <t>Used to decrease pH and supply phosphorus to plants. Phosphoric acid may not need if pH is below 7.0.</t>
  </si>
  <si>
    <t>Magnesium Sulfate</t>
  </si>
  <si>
    <t>Used to provide magnesium and sulfur nutrients to plants if deficiency is identified.</t>
  </si>
  <si>
    <t>Shell Grit</t>
  </si>
  <si>
    <t>Crushed shells commonly referred to as chicken scratch, used to help naturally add calcium and magnesium to the system</t>
  </si>
  <si>
    <t>Organically certified N-P-K nutrient solution used to provide nutrients prior to fish stocking or supplement if necessary. Product made from fermented vegetable based, loaded with lots of great fulvic acids and nutrients. Makes the water very dark colored</t>
  </si>
  <si>
    <t>Water Quality</t>
  </si>
  <si>
    <t>Pure Ammonia</t>
  </si>
  <si>
    <t>Used to provide feed source for nitrifying bacteria, Comes in power or clear liquid form. Make sure that the product does not contain any other ingredients, surfactants, soaps, or cleaning agents</t>
  </si>
  <si>
    <t xml:space="preserve">Total </t>
  </si>
  <si>
    <t>Nitrifying bacteria</t>
  </si>
  <si>
    <t>Used to inoculate the biofilter and populate the appropriate quantity of bacteria to being and maintain the cycling process. Examples are Microbe-Lift Nite Out, Zym Bac.</t>
  </si>
  <si>
    <t>Test kit – pH, Ammonia, Nitrite, Nitrate</t>
  </si>
  <si>
    <t>Used to test pH from 6.0 – 8.0. It is advisable to get a pH test kit that can register below 6.0. Most freshwater aquarium test kits also include ammonia, nitrite and nitrate. Daily to weekly depending on system being monitored for fish safety or plant nutrients The Aquaponic Source API freshwater test kit Nutrafin LaMotte Iron test kit Used to test the iron available to plants</t>
  </si>
  <si>
    <t>Iron test kit</t>
  </si>
  <si>
    <t>Used to test the iron available to plants.</t>
  </si>
  <si>
    <t>Phosphate test kit</t>
  </si>
  <si>
    <t>Used to test the phosphorous in the system.</t>
  </si>
  <si>
    <t>Microbial test kits</t>
  </si>
  <si>
    <t>Used to test for specific pathogens such as coliforms, E. Coli, Salmonella, Listeria</t>
  </si>
  <si>
    <t>pH Probe</t>
  </si>
  <si>
    <t>Used to test pH levels in water</t>
  </si>
  <si>
    <t>pH probe calibration solution</t>
  </si>
  <si>
    <t>A 4.0 pH solution and a 7.0 pH solution is used to calibrate pH probe</t>
  </si>
  <si>
    <t>Chlorine and chloramine remover</t>
  </si>
  <si>
    <t>A chemical compound which can be added to municipal tap water treated with chlorine or chloramine to make the water safe to add to the system</t>
  </si>
  <si>
    <t>Activated Carbon filter cartridge KDF filter</t>
  </si>
  <si>
    <t>Can be used to filter municipal tap water to remove chlorine, chloramine, metals and other possible contaminants</t>
  </si>
  <si>
    <t>Sediment filter cartridge</t>
  </si>
  <si>
    <t>Used in conjunction with an activated carbon filter to remove large partials such as rust, sand or other materials from municipal tap water</t>
  </si>
  <si>
    <t>Fish Supplies</t>
  </si>
  <si>
    <t>Fish food</t>
  </si>
  <si>
    <t>Quantities and costs are calculated in the Operating budget. Usually purchased in 40-50lb bags, in a size and formulation appropriate to the fish species. Non-Gmo, and organic feeds are available and generally cost more than conventional fish feed.</t>
  </si>
  <si>
    <t>Fingerlings</t>
  </si>
  <si>
    <t>Initial stocking of fish and fingerlings. Exact quantities are determined in the fish production section and operating budget</t>
  </si>
  <si>
    <t>Calcium Chloride</t>
  </si>
  <si>
    <t>May be used during or after transport, or when nitrites are at high levels in the system</t>
  </si>
  <si>
    <t>Sodium Chloride</t>
  </si>
  <si>
    <t>Can be used during or after transport, or for treating injury or illness in an offline system (not connected to the plants). This is rock salt commonly found in ice melt, also found in pool supplies, baking supply (kosher table salt, non-iodized)</t>
  </si>
  <si>
    <t>Fish nets - large</t>
  </si>
  <si>
    <t>Used to catch larger fish</t>
  </si>
  <si>
    <t>Fish nets - small</t>
  </si>
  <si>
    <t>Used to scoop uneaten fed, system solids, algae, roots</t>
  </si>
  <si>
    <t>Sanitizing Food Safety Products</t>
  </si>
  <si>
    <t>Wet wall sanitizer KleenGrow</t>
  </si>
  <si>
    <t>Used in wet wall reservoir to reduce calcium buildup, prevent algae and kill pathogens</t>
  </si>
  <si>
    <t>Bibb Lettuce</t>
  </si>
  <si>
    <t>H2O2 Oxidate or quaternary sanitizer</t>
  </si>
  <si>
    <t>Product used to sanitize raft boards, net pots, harvesting tools, other surfaces. Can also be used as a boot wash (foot bath). Buy the restaurant or hospital grade and 29%</t>
  </si>
  <si>
    <t>Sep</t>
  </si>
  <si>
    <t>Spray bottles</t>
  </si>
  <si>
    <t>Used for spraying raft boards with sanitizer and other cleaning</t>
  </si>
  <si>
    <t>Hand soap, hand sanitizer</t>
  </si>
  <si>
    <t>Hand soap as each sink area. Hand sanitizer in biosecure entrance, and around the farm</t>
  </si>
  <si>
    <t>Towels</t>
  </si>
  <si>
    <t>Cloth towels are used to wipe and sanitize raft boards and farm cleaning. Consider buying different color towels</t>
  </si>
  <si>
    <t>Paper Towels</t>
  </si>
  <si>
    <t>Dry hands after washing (considered a single use), also used for cleaning</t>
  </si>
  <si>
    <t>Foot bath tray</t>
  </si>
  <si>
    <t>Plastic tray that holds sanitizer solution</t>
  </si>
  <si>
    <t>Farm shoes or boots</t>
  </si>
  <si>
    <t>Shoes or boots used only in the greenhouse</t>
  </si>
  <si>
    <t>Green Star</t>
  </si>
  <si>
    <t>Mustard Greens</t>
  </si>
  <si>
    <t>Pest Management</t>
  </si>
  <si>
    <t>Pest Management Products</t>
  </si>
  <si>
    <t>Several products are listed in the plant supplies operating budget. Products selected based on pest being treated, and safeness with fish and bacteria. Could include beneficial insects, insecticides, fungicides, sulfur pellets, soaps, oils, sprays, dusts, and water soluble formulations</t>
  </si>
  <si>
    <t>Basil</t>
  </si>
  <si>
    <t>Vaporizer</t>
  </si>
  <si>
    <t>Sulfur burner to hang in middle of greenhouse</t>
  </si>
  <si>
    <t>Sulfur Prills</t>
  </si>
  <si>
    <t>Used to prevent/treat powdery mildew, mold</t>
  </si>
  <si>
    <t>Tyvek Coveralls</t>
  </si>
  <si>
    <t>Personal Protection Equipment Pest Management</t>
  </si>
  <si>
    <t>Oct</t>
  </si>
  <si>
    <t>Respirator</t>
  </si>
  <si>
    <t>Goggles</t>
  </si>
  <si>
    <t>Long length rubber gloves</t>
  </si>
  <si>
    <t>Greenhouse gloves</t>
  </si>
  <si>
    <t>Used for various tasks around the greenhouse</t>
  </si>
  <si>
    <t>Sprayer</t>
  </si>
  <si>
    <t>Backpack or cart sprayer (2 - 4 gallons)</t>
  </si>
  <si>
    <t>Hand sprayer</t>
  </si>
  <si>
    <t>small hand pump sprayer</t>
  </si>
  <si>
    <t>Rodent traps</t>
  </si>
  <si>
    <t>Used to manage rodent pests in greenhouse and food storage facilities</t>
  </si>
  <si>
    <t>Yellow and Blue sticky traps</t>
  </si>
  <si>
    <t>Used to detect pest levels and locations.</t>
  </si>
  <si>
    <t>Harvesting and Product Packaging</t>
  </si>
  <si>
    <t>* purchase only if using for packaging</t>
  </si>
  <si>
    <t>Plastic Box liners
30x18x36 liner bags work well</t>
  </si>
  <si>
    <t>A food grade clear plastic bag that is inserted into a cardboard box or a reusable plastic crate to keep the produce from touching the inside of the delivery container.</t>
  </si>
  <si>
    <t>Reusable Plastic Crates (RPC)</t>
  </si>
  <si>
    <t>Cardboard boxes*</t>
  </si>
  <si>
    <t>Can be used to pack produce for delivery to customer. Boxes can be printed with farm logo and contact information. Usually packs 12 – 24 heads of lettuce or other greens. Can be used to pack other food products as well.</t>
  </si>
  <si>
    <t>Individual product bags*</t>
  </si>
  <si>
    <t>Various different sizes and types of bags exist to create an individual produce amount</t>
  </si>
  <si>
    <t>Twist ties, rubber bands, twine*</t>
  </si>
  <si>
    <t>Can be used in place of a bag to distribute products to customers</t>
  </si>
  <si>
    <t>Clam Shells*</t>
  </si>
  <si>
    <t>Rigid plastic packaging that can be used for Bibb and other leaf lettuces, flowers, herbs and anything that easily damages</t>
  </si>
  <si>
    <t>Gloves</t>
  </si>
  <si>
    <t>Used for seeding, transplanting or harvesting activities for anyone with open wounds
Make sure to use food grade non-power and non-latex gloves</t>
  </si>
  <si>
    <t>Hairnets and beard nets</t>
  </si>
  <si>
    <t>Used to cover head during harvesting and other farm tasks. Can be reused.</t>
  </si>
  <si>
    <t>Harvest Scissors</t>
  </si>
  <si>
    <t>Used only for harvesting plants</t>
  </si>
  <si>
    <t>Work Scissors</t>
  </si>
  <si>
    <t>Used for other tasks in greenhouse or office</t>
  </si>
  <si>
    <t>Harvest bowls or buckets</t>
  </si>
  <si>
    <t>Used when harvesting plants</t>
  </si>
  <si>
    <t>Scale</t>
  </si>
  <si>
    <t>Use to weight harvested plants</t>
  </si>
  <si>
    <t>Measuring cups and spoons</t>
  </si>
  <si>
    <t>Measure nutrient additions, seeds, pest regiments, etc - choose different color for different purposes</t>
  </si>
  <si>
    <t>General</t>
  </si>
  <si>
    <t>Wall utility rack</t>
  </si>
  <si>
    <t>Used to hold fish tank nets, cleaning brushes, brooms, etc</t>
  </si>
  <si>
    <t>Nov</t>
  </si>
  <si>
    <t>Brooms and mop</t>
  </si>
  <si>
    <t>Used for cleaning, depends on subsurface</t>
  </si>
  <si>
    <t>ShopVac</t>
  </si>
  <si>
    <t>Used for cleaning around greenhouse and in system.</t>
  </si>
  <si>
    <t>Extension Cords</t>
  </si>
  <si>
    <t>Heavy duty cords will be useful for temporarily plugging in sump pumps, shop vac or other power equipment.</t>
  </si>
  <si>
    <t>Timers</t>
  </si>
  <si>
    <t>Used for lights, vaporizer and pumps</t>
  </si>
  <si>
    <t>Hoses</t>
  </si>
  <si>
    <t>Various sized hoses will be needed to run from water source to tanks, for draining and other farm tasks</t>
  </si>
  <si>
    <t>Sump pump</t>
  </si>
  <si>
    <t>Used to drain or move water. Sump pumps are not intended to be used on a continuous basis or they die.</t>
  </si>
  <si>
    <t>Flash lights</t>
  </si>
  <si>
    <t>Used around farm at night, or during power outage</t>
  </si>
  <si>
    <t>Batteries</t>
  </si>
  <si>
    <t>Used for flash lights, scale, and other equipment</t>
  </si>
  <si>
    <t>Power tools and tool kit</t>
  </si>
  <si>
    <t>Should include various wrenches, pillars, hammer, pipe cutters, tape measure, PVC bevel tool, hole saws, drill, drill bits, hacksaw, screwdrivers, pipe clamps, miter saw</t>
  </si>
  <si>
    <t>5 gallon buckets</t>
  </si>
  <si>
    <t>Used to remove solids from tanks, plant material, compost</t>
  </si>
  <si>
    <t>Units</t>
  </si>
  <si>
    <t>Storage totes</t>
  </si>
  <si>
    <t>Used to store fish food, seeds, plant materials, nutrients
We like the heavy duty black totes with yellow lids</t>
  </si>
  <si>
    <t>Printer paper and ink supplies</t>
  </si>
  <si>
    <t>Used to print invoices, sales receipts, taxes, reports and other information</t>
  </si>
  <si>
    <t>Code</t>
  </si>
  <si>
    <t>Components</t>
  </si>
  <si>
    <t>Equipment Usage</t>
  </si>
  <si>
    <t>Pens, envelopes, postage, labels, tape, paper clips</t>
  </si>
  <si>
    <t>Used for various farm and office tasks</t>
  </si>
  <si>
    <t>On Backup</t>
  </si>
  <si>
    <t>First Aid items</t>
  </si>
  <si>
    <t>Ensure that there are one or more first aid kits readily available and refill supplies as needed</t>
  </si>
  <si>
    <t>Notebooks</t>
  </si>
  <si>
    <t>Used as a farm log file to record seeding, transplanting and harvesting information, test results, nutrient additions, and such</t>
  </si>
  <si>
    <t>volts</t>
  </si>
  <si>
    <t>amps</t>
  </si>
  <si>
    <t>total watts</t>
  </si>
  <si>
    <t>Cost per day</t>
  </si>
  <si>
    <t>Cost Per month</t>
  </si>
  <si>
    <t>Cost Per year</t>
  </si>
  <si>
    <t>Operating Months</t>
  </si>
  <si>
    <t>Dec</t>
  </si>
  <si>
    <t>Total plants per culture</t>
  </si>
  <si>
    <t>Totals</t>
  </si>
  <si>
    <t>Culture period (weeks)</t>
  </si>
  <si>
    <t>Total plants</t>
  </si>
  <si>
    <t>Loss rate</t>
  </si>
  <si>
    <t>Net Plants Annual</t>
  </si>
  <si>
    <t>Monthly plants</t>
  </si>
  <si>
    <t>Weekly plants</t>
  </si>
  <si>
    <t>Red Russian Kale</t>
  </si>
  <si>
    <t>Gross revenue</t>
  </si>
  <si>
    <t>Seedling Trays</t>
  </si>
  <si>
    <t>Number of plugs per tray</t>
  </si>
  <si>
    <t>Weekly transplants</t>
  </si>
  <si>
    <t>Weekly trays</t>
  </si>
  <si>
    <t>Flat loss rate/overseed</t>
  </si>
  <si>
    <t>Weekly nursery trays to seed</t>
  </si>
  <si>
    <t>Weeks in nursery</t>
  </si>
  <si>
    <t>Total Seedling Trays (rounded up)</t>
  </si>
  <si>
    <t>% of total</t>
  </si>
  <si>
    <t>Plants per bed</t>
  </si>
  <si>
    <t>Plantings per season</t>
  </si>
  <si>
    <t>Total lbs</t>
  </si>
  <si>
    <t>Annual Trays</t>
  </si>
  <si>
    <t>Tomatoes</t>
  </si>
  <si>
    <t>Squash</t>
  </si>
  <si>
    <t>Peppers</t>
  </si>
  <si>
    <t>Cucumbers</t>
  </si>
  <si>
    <t>Fish, Feed and Tank Calculator</t>
  </si>
  <si>
    <t>Weight gain per fish</t>
  </si>
  <si>
    <t>Growout period (months)</t>
  </si>
  <si>
    <t>Rev &amp; COGS</t>
  </si>
  <si>
    <t>Summary Table</t>
  </si>
  <si>
    <t>Total plants, trays, fish</t>
  </si>
  <si>
    <t>Annual Revenue</t>
  </si>
  <si>
    <t>Avg. Monthly Revenue</t>
  </si>
  <si>
    <t>Total Electrical</t>
  </si>
  <si>
    <t>DWC</t>
  </si>
  <si>
    <t>12 ct case</t>
  </si>
  <si>
    <t>box liner 12 ct</t>
  </si>
  <si>
    <t>24 ct case</t>
  </si>
  <si>
    <t>box liner 24 ct</t>
  </si>
  <si>
    <t>head</t>
  </si>
  <si>
    <t>Clamshell</t>
  </si>
  <si>
    <t>Fish</t>
  </si>
  <si>
    <t>small lettuce bag</t>
  </si>
  <si>
    <t>Greenhouse Equipment</t>
  </si>
  <si>
    <t>3 pack</t>
  </si>
  <si>
    <t>medium lettuce bag</t>
  </si>
  <si>
    <t>Fish Production</t>
  </si>
  <si>
    <t>Stocking rate of fish per tank</t>
  </si>
  <si>
    <t>Adjust up for mortality rate at 10%</t>
  </si>
  <si>
    <t>6 pack</t>
  </si>
  <si>
    <t>large lettuce bag</t>
  </si>
  <si>
    <t>Harvests per year</t>
  </si>
  <si>
    <t>Weight per Harvest</t>
  </si>
  <si>
    <t>Annual Weight</t>
  </si>
  <si>
    <t># of fingerlings to restock</t>
  </si>
  <si>
    <t>Restock every (months)</t>
  </si>
  <si>
    <t>Cost per fingerling</t>
  </si>
  <si>
    <t>Fingerling Shipping</t>
  </si>
  <si>
    <t>Fingerling Cost per shipment</t>
  </si>
  <si>
    <t>produce box</t>
  </si>
  <si>
    <t>Tilapia</t>
  </si>
  <si>
    <t>Microgreen Varieties</t>
  </si>
  <si>
    <t>Harvest Weight</t>
  </si>
  <si>
    <t>Monthly Feed cost</t>
  </si>
  <si>
    <t>Annual Feed Cost</t>
  </si>
  <si>
    <t>Culture period (wks)</t>
  </si>
  <si>
    <t>Total Flats</t>
  </si>
  <si>
    <t>Price per flat</t>
  </si>
  <si>
    <t>Monthly Revenue</t>
  </si>
  <si>
    <t>Deep Water Culture</t>
  </si>
  <si>
    <t>Seed cost per plant</t>
  </si>
  <si>
    <t>Cost per starter plug</t>
  </si>
  <si>
    <t>Seeding Cost per plant</t>
  </si>
  <si>
    <t>Plants sewn</t>
  </si>
  <si>
    <t>Total Cost Plants</t>
  </si>
  <si>
    <t xml:space="preserve">Loss rate </t>
  </si>
  <si>
    <t>Sellable plants</t>
  </si>
  <si>
    <t>Product Sold by</t>
  </si>
  <si>
    <t>Packaging Type</t>
  </si>
  <si>
    <t>Packaging Cost per unit</t>
  </si>
  <si>
    <t>Variable cost per unit</t>
  </si>
  <si>
    <t>Units Sold</t>
  </si>
  <si>
    <t>Total packaging cost</t>
  </si>
  <si>
    <t>Sale $ per unit</t>
  </si>
  <si>
    <t>Apr - Sep Rev</t>
  </si>
  <si>
    <t>Avg mth</t>
  </si>
  <si>
    <t>Misc. Equipment</t>
  </si>
  <si>
    <t>Plant Sump</t>
  </si>
  <si>
    <t>Mineralization Tank</t>
  </si>
  <si>
    <t>Media Beds</t>
  </si>
  <si>
    <t>Monthly top off as % of total</t>
  </si>
  <si>
    <t>Estimated Annual consumption</t>
  </si>
  <si>
    <t>Consumption plus initial fill</t>
  </si>
  <si>
    <t>Initial Fill</t>
  </si>
  <si>
    <t xml:space="preserve">Avg. Annual Consumption </t>
  </si>
  <si>
    <t>Plants Sewn</t>
  </si>
  <si>
    <t>Sellable Plants</t>
  </si>
  <si>
    <t>gallons</t>
  </si>
  <si>
    <t>Oct - Mar Rev</t>
  </si>
  <si>
    <t>Avg Mth</t>
  </si>
  <si>
    <t>Natural Gas Water Heater</t>
  </si>
  <si>
    <t>Date</t>
  </si>
  <si>
    <t>Month</t>
  </si>
  <si>
    <t>Total Consumption (cubic feet)</t>
  </si>
  <si>
    <t>Total Consumption (Therms)</t>
  </si>
  <si>
    <t>Days since last reading</t>
  </si>
  <si>
    <t>Therms per day</t>
  </si>
  <si>
    <t>$ per day</t>
  </si>
  <si>
    <t>$ per month</t>
  </si>
  <si>
    <t>Total Annual</t>
  </si>
  <si>
    <t>*media beds calculate product by weight only not by plant</t>
  </si>
  <si>
    <t>Total sewn plants</t>
  </si>
  <si>
    <t>Total cost plants</t>
  </si>
  <si>
    <t>Number of plants</t>
  </si>
  <si>
    <t>Apr - Sep Revenue</t>
  </si>
  <si>
    <t>Oct - Mar Revenue</t>
  </si>
  <si>
    <t>Microgreens</t>
  </si>
  <si>
    <t>Annual Microgreen Production</t>
  </si>
  <si>
    <t>Seed cost per flat</t>
  </si>
  <si>
    <t>Media cost per flat</t>
  </si>
  <si>
    <t>Cost per flat</t>
  </si>
  <si>
    <t>Total Cost per unit</t>
  </si>
  <si>
    <t>Total trays</t>
  </si>
  <si>
    <t>Annual cost per trays</t>
  </si>
  <si>
    <t>Rev $ per unit</t>
  </si>
  <si>
    <t>Annual revenue</t>
  </si>
  <si>
    <t>Avg monthly revenue</t>
  </si>
  <si>
    <t>Margin per unit</t>
  </si>
  <si>
    <t>Produce &amp; Fish Revenue</t>
  </si>
  <si>
    <t>Growing System</t>
  </si>
  <si>
    <t>Escalator</t>
  </si>
  <si>
    <t>Starts with month of first seeding from Plant &amp; Fish Production Worksheet</t>
  </si>
  <si>
    <t>Produce - Year 1</t>
  </si>
  <si>
    <t>Startup Curve</t>
  </si>
  <si>
    <t>No produce sales anticipated until the 3rd month of operations</t>
  </si>
  <si>
    <t>DWC adj rev</t>
  </si>
  <si>
    <t>Lookup Table - Do Not Alter</t>
  </si>
  <si>
    <t>Months</t>
  </si>
  <si>
    <t>Media Beds adj rev</t>
  </si>
  <si>
    <t>Microgreens adj rev</t>
  </si>
  <si>
    <t>Produce - Year 2</t>
  </si>
  <si>
    <t xml:space="preserve">Fish </t>
  </si>
  <si>
    <t>Assumptions</t>
  </si>
  <si>
    <t xml:space="preserve">The volume output % for each month is designed to illustrate the early stages of production when the system is first being planted. In many ways this represents both a startup production and a learning curve. Aquaponics systems can take several months to reach maturity and so achieving 100% production in the first few months is considered unrealistic. Therefore, the total amount of monthly production is multiplied by the volume output percentage to illustrate a reasonable growth curve for overall system output. The monthly numbers rollup to the annual revenue table above. </t>
  </si>
  <si>
    <t>Revenues show expected returns if systems and sales channels are functioning optimally</t>
  </si>
  <si>
    <t>Markets, distribution, climate, management have to be functioning optimally</t>
  </si>
  <si>
    <t>Category</t>
  </si>
  <si>
    <t>Sum Total</t>
  </si>
  <si>
    <t>COGS - Seeds, Media and Packaging - Costs for these items comes from the REV-COGS worksheet</t>
  </si>
  <si>
    <t>Seed Cost</t>
  </si>
  <si>
    <t>Plug trays</t>
  </si>
  <si>
    <t>Packaging</t>
  </si>
  <si>
    <t>Plugs/Starting media</t>
  </si>
  <si>
    <t>Microgreen Seeds</t>
  </si>
  <si>
    <t>Microgreen Media</t>
  </si>
  <si>
    <t>Microgreen flats</t>
  </si>
  <si>
    <t>Microgreen packaging</t>
  </si>
  <si>
    <t>Misc Supplies</t>
  </si>
  <si>
    <t>Twist ties</t>
  </si>
  <si>
    <t>Bowls</t>
  </si>
  <si>
    <t>Tongs</t>
  </si>
  <si>
    <t>Cardboard boxes</t>
  </si>
  <si>
    <t>Food Safety</t>
  </si>
  <si>
    <t>H2O2 Oxidate or other sanitizer</t>
  </si>
  <si>
    <t>IPM Supplies</t>
  </si>
  <si>
    <t>Azamax</t>
  </si>
  <si>
    <t>Pure Kapow</t>
  </si>
  <si>
    <t>Botanigard ES</t>
  </si>
  <si>
    <t>Serenade</t>
  </si>
  <si>
    <t>Item Description</t>
  </si>
  <si>
    <t>Food truck %</t>
  </si>
  <si>
    <t xml:space="preserve">Lookup Table - Prices distribute monthly from Rev &amp; COGS however you can overwrite any cell if you are going to make a bulk purchase in a given month. </t>
  </si>
  <si>
    <t>Plugs</t>
  </si>
  <si>
    <t>media</t>
  </si>
  <si>
    <t>Trays</t>
  </si>
  <si>
    <t>Food truck pickup</t>
  </si>
  <si>
    <t>Market Rental</t>
  </si>
  <si>
    <t>Ice</t>
  </si>
  <si>
    <t>Delivery vehicle fuel estimate</t>
  </si>
  <si>
    <t>Contract Labor</t>
  </si>
  <si>
    <t>labels</t>
  </si>
  <si>
    <t>Boxes-crates</t>
  </si>
  <si>
    <t>Commissary Kitchen Storage</t>
  </si>
  <si>
    <t>Marketing - Advertising</t>
  </si>
  <si>
    <t>Flyers/Brochures</t>
  </si>
  <si>
    <t>Website Services</t>
  </si>
  <si>
    <t>Business Cards</t>
  </si>
  <si>
    <t>Social media promos</t>
  </si>
  <si>
    <t>Salaries, Employee Training</t>
  </si>
  <si>
    <t>Position</t>
  </si>
  <si>
    <t>Labor Total</t>
  </si>
  <si>
    <t># of</t>
  </si>
  <si>
    <t>hrs/wk</t>
  </si>
  <si>
    <t>wks</t>
  </si>
  <si>
    <t>rate</t>
  </si>
  <si>
    <t>week</t>
  </si>
  <si>
    <t>mth</t>
  </si>
  <si>
    <t>year</t>
  </si>
  <si>
    <t>Farm Manager</t>
  </si>
  <si>
    <t>Water Quality Supplies</t>
  </si>
  <si>
    <t>Assistant</t>
  </si>
  <si>
    <t>Intern</t>
  </si>
  <si>
    <t>Water quality test kit reagents</t>
  </si>
  <si>
    <t>Iron test kit reagents</t>
  </si>
  <si>
    <t>Phosphate test kit reagents</t>
  </si>
  <si>
    <t>Microbial test kits reagents</t>
  </si>
  <si>
    <t>Third Party Lab Testing</t>
  </si>
  <si>
    <t>KDF Filter Replacement</t>
  </si>
  <si>
    <t>Conferences</t>
  </si>
  <si>
    <t>Certifications</t>
  </si>
  <si>
    <t>Workshops</t>
  </si>
  <si>
    <t>Total</t>
  </si>
  <si>
    <t xml:space="preserve">Espertan Organic Full spectrum Nutrient Formula </t>
  </si>
  <si>
    <t>Other Operating Expenses</t>
  </si>
  <si>
    <t>Professional Services/Legal</t>
  </si>
  <si>
    <t>Rows that are not filled in from the plant production worksheet must be hidden before linking to the document</t>
  </si>
  <si>
    <t>Inserting rows can cause tables to shift and not update properly in report document</t>
  </si>
  <si>
    <t>Growasis Summer Production</t>
  </si>
  <si>
    <t>Growasis Summer Income</t>
  </si>
  <si>
    <t>Growasis Summer COGS 1</t>
  </si>
  <si>
    <t>Growasis Summer COGS 2</t>
  </si>
  <si>
    <t>Growasis Winter Production</t>
  </si>
  <si>
    <t>Growasis Winter Income</t>
  </si>
  <si>
    <t>Growasis Winter COGS 1</t>
  </si>
  <si>
    <t>Growasis Winter COGS 2</t>
  </si>
  <si>
    <t>Growasis Production Summary</t>
  </si>
  <si>
    <t>Aquabundance Summer Production</t>
  </si>
  <si>
    <t>Aquabundance Summer Income</t>
  </si>
  <si>
    <t>AquaBundance Summer COGS 1</t>
  </si>
  <si>
    <t>AquaBundance Summer COGS 2</t>
  </si>
  <si>
    <t>Aquabundance Winter Production</t>
  </si>
  <si>
    <t>Aquabundance Winter Income</t>
  </si>
  <si>
    <t>AquaBundance Winter COGS 1</t>
  </si>
  <si>
    <t>AquaBundance Winter COGS 2</t>
  </si>
  <si>
    <t>Energy - Utilities</t>
  </si>
  <si>
    <t>Aquaponics Electrical</t>
  </si>
  <si>
    <t>Consolidated Table for Farm Over view and Detailed Report Documents</t>
  </si>
  <si>
    <t>Table for Farm Overview document</t>
  </si>
  <si>
    <t>Op Mths</t>
  </si>
  <si>
    <t>Aquaponics Electrical Cost</t>
  </si>
  <si>
    <t>Flourish Farm System</t>
  </si>
  <si>
    <t>DWC Sq ft</t>
  </si>
  <si>
    <t>Planting spaces</t>
  </si>
  <si>
    <t>4 weeks</t>
  </si>
  <si>
    <t>5 weeks</t>
  </si>
  <si>
    <t>6 weeks</t>
  </si>
  <si>
    <t>Micro Flats</t>
  </si>
  <si>
    <t>Fish (lbs)</t>
  </si>
  <si>
    <t>Energy kwH</t>
  </si>
  <si>
    <t>Flourish Farm 30 x 96</t>
  </si>
  <si>
    <t>Weekly</t>
  </si>
  <si>
    <t>Greenhouse Electrical Equipment and Demand</t>
  </si>
  <si>
    <t>Greenhouse Electrical Cost</t>
  </si>
  <si>
    <t>Lighting Electrical</t>
  </si>
  <si>
    <t>Lighting Electrical Cost</t>
  </si>
  <si>
    <t>Other Equipment</t>
  </si>
  <si>
    <t>Other Equipment Cost</t>
  </si>
  <si>
    <t>Natural Gas Greenhouse Heat</t>
  </si>
  <si>
    <t xml:space="preserve">Water </t>
  </si>
  <si>
    <t>Labor Summary</t>
  </si>
  <si>
    <t>Microgreen COGS</t>
  </si>
  <si>
    <t>Scenario 1</t>
  </si>
  <si>
    <t>Scenario 2</t>
  </si>
  <si>
    <t>Scenario 3</t>
  </si>
  <si>
    <t>Scenario 4</t>
  </si>
  <si>
    <t>Input prices in blue to create different revenue and net income scenarios</t>
  </si>
  <si>
    <t>Based on GrowTech 128 plug tray</t>
  </si>
  <si>
    <t>Pens, envelopes, postage, labels, tape</t>
  </si>
  <si>
    <t>DWC - Summer Season: Apr - Sep</t>
  </si>
  <si>
    <t>DWC - Winter Season: Oct - Mar</t>
  </si>
  <si>
    <t>Media Beds - Summer Season</t>
  </si>
  <si>
    <t xml:space="preserve">Media Beds - Winter Season </t>
  </si>
  <si>
    <t>Product Sold By:</t>
  </si>
  <si>
    <t>Packaging Cost</t>
  </si>
  <si>
    <t>Insert feed, fingerling costs and sales price. Other data comes from Plant &amp; Fish Worksheet</t>
  </si>
  <si>
    <t xml:space="preserve">Plant specific seasonal tables starting on row 15 uses data from the Plant &amp; Fish Production worksheet. Input data into blue cells and use the drop down menus to select how the product is sold and packaged. </t>
  </si>
  <si>
    <t>Monthly Summary view</t>
  </si>
  <si>
    <t>Food Truck % takes a percentage off the gross revenue of sales from DWC for distribution services. Leave at zero if there is no contract service or create a line for your specific costs in the monthly view table</t>
  </si>
  <si>
    <t>Monthly View</t>
  </si>
  <si>
    <t>Item Name</t>
  </si>
  <si>
    <t>Notes</t>
  </si>
  <si>
    <t>Labor Calculator</t>
  </si>
  <si>
    <t>Starting Mth</t>
  </si>
  <si>
    <t>Debt Service (from loan calculator in summary)</t>
  </si>
  <si>
    <t>Copyright</t>
  </si>
  <si>
    <t>Revenue Scenarios</t>
  </si>
  <si>
    <t xml:space="preserve">Click Enable Editing if the bar pops up under the toolbar. </t>
  </si>
  <si>
    <t>Ending Cash Balance</t>
  </si>
  <si>
    <t>Life</t>
  </si>
  <si>
    <t>Method</t>
  </si>
  <si>
    <t>SL</t>
  </si>
  <si>
    <t>Total:</t>
  </si>
  <si>
    <t>Includes base price of the greenhouse structure</t>
  </si>
  <si>
    <t>Building</t>
  </si>
  <si>
    <t>Office/Tech</t>
  </si>
  <si>
    <t>Vehicle</t>
  </si>
  <si>
    <t>Land Improvement</t>
  </si>
  <si>
    <t>Asset Category</t>
  </si>
  <si>
    <t>Salvage%</t>
  </si>
  <si>
    <t>Depreciation Category</t>
  </si>
  <si>
    <t>No Depreciation</t>
  </si>
  <si>
    <t>Fish Sump volume</t>
  </si>
  <si>
    <t>Fish Tank total volume</t>
  </si>
  <si>
    <t>DWC Transplanting Trough(s)</t>
  </si>
  <si>
    <t>DWC Growout Trough(s)</t>
  </si>
  <si>
    <t xml:space="preserve">Total Raft Boards </t>
  </si>
  <si>
    <t>Enter readings for natural gas consumption</t>
  </si>
  <si>
    <t>Asset Total</t>
  </si>
  <si>
    <t>select from menu</t>
  </si>
  <si>
    <t># of Raft Boards</t>
  </si>
  <si>
    <t># of Beds</t>
  </si>
  <si>
    <t># of Flats</t>
  </si>
  <si>
    <t>DWC Growout Troughs (# of )</t>
  </si>
  <si>
    <t>Misc - Other Revenue</t>
  </si>
  <si>
    <t>Tours</t>
  </si>
  <si>
    <t>Nutrients</t>
  </si>
  <si>
    <t>Total Consumption (mth to mth)</t>
  </si>
  <si>
    <t>Total System Volume</t>
  </si>
  <si>
    <t xml:space="preserve">Meter Reading </t>
  </si>
  <si>
    <t>Plant and IPM Supplies - Monthly View</t>
  </si>
  <si>
    <t>End Month</t>
  </si>
  <si>
    <t>Version 6 Improvements</t>
  </si>
  <si>
    <t>Added additional blank rows in the expense categories to allow for more line items to be included</t>
  </si>
  <si>
    <t>Color coded tabs Legend</t>
  </si>
  <si>
    <t>Set permissions to allow formulas to be visible but protected</t>
  </si>
  <si>
    <t>Add expense items and expected costs in the monthly view section for two years. The monthly debt service calculation comes from the loan calculator in the startup capital sheet and is not editable on this worksheet</t>
  </si>
  <si>
    <t>Beginning Cash Balance (working capital)</t>
  </si>
  <si>
    <t>First month begins with first month of seeding entered in the Plant &amp; Fish Production Worksheet</t>
  </si>
  <si>
    <t>Calculates the internal rate of return on an investment based of a series of periodic cash flows projected out 10 years. Negative IRR occurs when the aggregate amount of cash flows caused by an investment is less than the amount of the initial investment. In this case, the investing entity will experience a negative return on its investment</t>
  </si>
  <si>
    <t>Internal Rate of Return</t>
  </si>
  <si>
    <t>Moved IRR and NPV to analysis tab</t>
  </si>
  <si>
    <t>Added working capital input to Startup Capital tab with link into 2 yr. cash flow worksheet</t>
  </si>
  <si>
    <t>COGS - DWC</t>
  </si>
  <si>
    <t>COGS - Media Beds</t>
  </si>
  <si>
    <t>COGS - Microgreens</t>
  </si>
  <si>
    <t>COGS Monthly View - Plants</t>
  </si>
  <si>
    <t>Plant Systems</t>
  </si>
  <si>
    <t xml:space="preserve">COGS and Op Ex are fixed using Year 2 totals to demonstrate the net effect or scenario price adjustments </t>
  </si>
  <si>
    <t>Total COGS (year 2 fixed)</t>
  </si>
  <si>
    <t>Total Op Ex (year 2 fixed)</t>
  </si>
  <si>
    <t>Updated Revenue Scenario Calculator to include COGS</t>
  </si>
  <si>
    <t>Moved Distribution expenses to Op Ex</t>
  </si>
  <si>
    <t>&lt;COMPANY NAME&gt;</t>
  </si>
  <si>
    <t>PRO FORMA INCOME STATEMENT</t>
  </si>
  <si>
    <t xml:space="preserve">REVENUE </t>
  </si>
  <si>
    <t>TREND</t>
  </si>
  <si>
    <t>COST OF SALES</t>
  </si>
  <si>
    <t>TOTAL COST OF SALES</t>
  </si>
  <si>
    <t xml:space="preserve"> </t>
  </si>
  <si>
    <t>Interest</t>
  </si>
  <si>
    <t>Taxes</t>
  </si>
  <si>
    <t>Sales</t>
  </si>
  <si>
    <t>Direct Costs</t>
  </si>
  <si>
    <t>Gross Margin (Profit)</t>
  </si>
  <si>
    <t>Gross Margin%</t>
  </si>
  <si>
    <t>Expenses</t>
  </si>
  <si>
    <t>Operating Expenses</t>
  </si>
  <si>
    <t>Net Profit</t>
  </si>
  <si>
    <t>Misc. Supplies</t>
  </si>
  <si>
    <t>Salaries</t>
  </si>
  <si>
    <t>Advertising/ Marketing</t>
  </si>
  <si>
    <t>Bad Debts/Write offs</t>
  </si>
  <si>
    <t>ADMINISTRATIVE EXPENSES</t>
  </si>
  <si>
    <t>TOTAL ADMINISTRATIVE EXPENSES</t>
  </si>
  <si>
    <t>Total Admin Expenses</t>
  </si>
  <si>
    <t>Farm specific data inputs and accompanying data points</t>
  </si>
  <si>
    <t>Expense categories for detailing costs</t>
  </si>
  <si>
    <t>Loss rate (unsellable crops)</t>
  </si>
  <si>
    <t>Groups harvested per week</t>
  </si>
  <si>
    <t>Estimated $ per plant/head</t>
  </si>
  <si>
    <t>Amortization</t>
  </si>
  <si>
    <t>EBITDA</t>
  </si>
  <si>
    <t>Fed Tax</t>
  </si>
  <si>
    <t>State Tax</t>
  </si>
  <si>
    <t>Workers Comp</t>
  </si>
  <si>
    <t>State UI</t>
  </si>
  <si>
    <t>Benefits</t>
  </si>
  <si>
    <t>Sheet notes:</t>
  </si>
  <si>
    <t>Full time and Part Time Calculator</t>
  </si>
  <si>
    <t>Use the labor calculator to list positions and wages. Note the starting month under Year 1 in orange which is inputed in the Plant &amp; Fish Production worksheet.</t>
  </si>
  <si>
    <t>Employer Portion of Taxes, Expenses and Benefits</t>
  </si>
  <si>
    <t xml:space="preserve">  Credit Card Fees and Interest</t>
  </si>
  <si>
    <t xml:space="preserve">  Merchant Services </t>
  </si>
  <si>
    <t>How to Use</t>
  </si>
  <si>
    <t>Purpose</t>
  </si>
  <si>
    <t xml:space="preserve">You can copy and paste tables into business plan documents as needed. </t>
  </si>
  <si>
    <t xml:space="preserve">This spreadsheet has been developed for the purpose of creating production and financial predictions, scenarios and reports related to aquaponic farming. The program can be helpful for capturing and recording projected revenues and expenses for the purpose of developing a business plan. The program is not designed as an actual business accounting system. Software such as Quickbooks should be used to manage business operations and company finances. </t>
  </si>
  <si>
    <t xml:space="preserve">You will need to collect your own data such as startup costs, product pricing, utility rates etc. </t>
  </si>
  <si>
    <t>Begin by inputing data into the green worksheets as you are able</t>
  </si>
  <si>
    <t>Add known or projected expenses into the blue worksheets under the proper category</t>
  </si>
  <si>
    <t>The results of this spreadsheet are predictive in nature. Actual production and financial performance of the farm will vary from projections</t>
  </si>
  <si>
    <t xml:space="preserve">The program is only as good as the data you enter in to it. If the data is wildly inaccurate or misleading then the results will follow suit. </t>
  </si>
  <si>
    <t>Contact JD@theaquaponicsource.com if there are bugs or questions regarding the program</t>
  </si>
  <si>
    <t>A few rows summing monthly expenses into annual expenses were shifted off by one month. This has been corrected</t>
  </si>
  <si>
    <t>Worksheet Tab Colors</t>
  </si>
  <si>
    <t>Worksheets providing summary data - no user inputs on these pages</t>
  </si>
  <si>
    <t>Year 5</t>
  </si>
  <si>
    <t>Year 6</t>
  </si>
  <si>
    <t>Year 7</t>
  </si>
  <si>
    <t>Year 8</t>
  </si>
  <si>
    <t>Year 9</t>
  </si>
  <si>
    <t>Year 10</t>
  </si>
  <si>
    <t>Depreciation (from Depreciation schedule)</t>
  </si>
  <si>
    <t>Net Income (EBITDA)</t>
  </si>
  <si>
    <t xml:space="preserve">  Property Insurance</t>
  </si>
  <si>
    <t xml:space="preserve">  General Liability</t>
  </si>
  <si>
    <t xml:space="preserve">  Other</t>
  </si>
  <si>
    <t>Total Bank Fees</t>
  </si>
  <si>
    <t>Total Insurance</t>
  </si>
  <si>
    <t>Leases</t>
  </si>
  <si>
    <t xml:space="preserve">Revised 4 Yr Pro Forma Sheet to include EBITDA </t>
  </si>
  <si>
    <t>Added line for insurance and bank fees</t>
  </si>
  <si>
    <t>Base Pay</t>
  </si>
  <si>
    <t>annual</t>
  </si>
  <si>
    <t>Updated the salaries calculator to allow start and end months to be set for part time employees</t>
  </si>
  <si>
    <t>Added more employer tax, insurance and benefit adjustment fields to salaries calculator</t>
  </si>
  <si>
    <t>Working Capital -</t>
  </si>
  <si>
    <t>Consolidated Depreciation Schedule</t>
  </si>
  <si>
    <t>Salvage Value</t>
  </si>
  <si>
    <t xml:space="preserve">Input total building sq ft in F4. Capital Items, Description, Cost, Depreciation Fields and the loan calculator are all adjustable. </t>
  </si>
  <si>
    <t xml:space="preserve">Contingency Budget as a Percent of Total Costs - </t>
  </si>
  <si>
    <t>Greenhouse and/or Building Improvements</t>
  </si>
  <si>
    <t>GeoThermal System</t>
  </si>
  <si>
    <t>Espartan</t>
  </si>
  <si>
    <t>Important: Input the month of your first expecting seeding and harvest  &gt;&gt;&gt;</t>
  </si>
  <si>
    <t>Month of First Seeding &gt;</t>
  </si>
  <si>
    <t xml:space="preserve">Month of first harvest &gt; </t>
  </si>
  <si>
    <t>Number of planting spaces per raft board</t>
  </si>
  <si>
    <t>Number of tanks (or age cohorts of fish)</t>
  </si>
  <si>
    <t>Feed conversion ratio (FCR)</t>
  </si>
  <si>
    <t xml:space="preserve">Total annual fish production gain </t>
  </si>
  <si>
    <t>Total number of fish harvested</t>
  </si>
  <si>
    <t>Total annual weight of harvested fish</t>
  </si>
  <si>
    <t>Number of harvests per year</t>
  </si>
  <si>
    <t>Harvest Frequency (months)</t>
  </si>
  <si>
    <t xml:space="preserve">Weight per harvest </t>
  </si>
  <si>
    <t xml:space="preserve">Water volume of each rearing tank </t>
  </si>
  <si>
    <t>10 x 10 micro flat</t>
  </si>
  <si>
    <t>10 x 20 micro flat</t>
  </si>
  <si>
    <t>Table of Common Packaging Options</t>
  </si>
  <si>
    <t>Running watts per unit</t>
  </si>
  <si>
    <t>Startup watts per unit</t>
  </si>
  <si>
    <t>Fixed error in electrical table amperage calculation</t>
  </si>
  <si>
    <t>Added notes fields to assist with understanding assumptions and calculations that are not obvious or required additional clarity</t>
  </si>
  <si>
    <t>Added column for startup watts for electrical equipment</t>
  </si>
  <si>
    <t>Op Hrs per day</t>
  </si>
  <si>
    <t>kWh</t>
  </si>
  <si>
    <t>$ kWh</t>
  </si>
  <si>
    <t>Daily kWh</t>
  </si>
  <si>
    <t>Monthly kWh</t>
  </si>
  <si>
    <t>Op Days per week</t>
  </si>
  <si>
    <t>Input utility rates in H3:H5. Esc cell is an annual inflationary escalator you can adjust. Add electrical equipment, watts and voltage into the tables below. Note that there is an energy comparison table starting in column AH</t>
  </si>
  <si>
    <t>Energy Comparison Table</t>
  </si>
  <si>
    <t>Mth #</t>
  </si>
  <si>
    <t>Filtration system volume</t>
  </si>
  <si>
    <t>Number of Fish Tanks</t>
  </si>
  <si>
    <t>Water volumes, weights and fill - Some values come directly from the Plant and Fish Production Worksheet, others need to be inputed manually</t>
  </si>
  <si>
    <t>Greenhouse Natural Gas Heat</t>
  </si>
  <si>
    <r>
      <rPr>
        <b/>
        <sz val="10"/>
        <rFont val="Arial"/>
        <family val="2"/>
      </rPr>
      <t>Startup Curve Row</t>
    </r>
    <r>
      <rPr>
        <sz val="10"/>
        <rFont val="Arial"/>
        <family val="2"/>
      </rPr>
      <t xml:space="preserve"> - Use this row to input a percentage of total production that you think you can sell for that respective month. In other words, you are likely not going to sell out of all of your product in your first month of operation. The goal is to be selling 100% of your product but realistically it might take several months to get to that place. The percentage you apply to a given month will factor against the total monthly dollars that were determined for that product on the previous page. This value will be reflected in the adjusted revenue cells. Remember, your loss rate has already been factored in before the number arrives in this worksheet. This allows you to scenario plan your startup revenue</t>
    </r>
  </si>
  <si>
    <t>Theoretical Product price per head</t>
  </si>
  <si>
    <t>Add potential revenue sources into the blue fields under Item name</t>
  </si>
  <si>
    <t>Sheet Notes</t>
  </si>
  <si>
    <t>Add in revenue projections for each month broadcasting out 2 years if possible</t>
  </si>
  <si>
    <t>COGS values come directly from the Rev &amp; COGS worksheet. No further inputs can be changed on this sheet other than the annual inflation escalator</t>
  </si>
  <si>
    <t>This sheet adjusts values from the Rev &amp; COGS worksheet to align with the two year monthly cash flow and 4 yr financial pro forma worksheets</t>
  </si>
  <si>
    <t>Sheet notes</t>
  </si>
  <si>
    <t xml:space="preserve">Input item names and expected costs by month in the blue cells. </t>
  </si>
  <si>
    <t>Individual items are consolidated by category in the annual view</t>
  </si>
  <si>
    <t>Beginning Cash Balance (Working Capital) is inputed on the Startup Costs worksheet</t>
  </si>
  <si>
    <t>4 Year Pro Forma Income Statement</t>
  </si>
  <si>
    <t>This spreadsheet and its programs are the Copyright © of Avolve Inc. (d.b.a.The Aquaponic Source). Reproduction, retransmission and use of this program without written consent of The Aquaponic Source is strictly prohibited</t>
  </si>
  <si>
    <t xml:space="preserve">Many cells have a red triangle which will popup notes as you mouse over the cell </t>
  </si>
  <si>
    <t xml:space="preserve">Final stocking density </t>
  </si>
  <si>
    <t>Input the size of DWC troughs below to get the number of raft boards and rough estimates of production and revenue. Use the plant specific seasonal tables in column E to list plants by growing system, species, allocate raft boards, densities and other variables. The fish feed and tank calculator (B46) uses the total surface are of planting space from the DWC sizing calculator.</t>
  </si>
  <si>
    <t>DWC Trough Planning and Gross Production Calculator</t>
  </si>
  <si>
    <t>Detailed Plant Production Seasonal Calculator</t>
  </si>
  <si>
    <t>Raft Board Length</t>
  </si>
  <si>
    <t>Raft Board Width</t>
  </si>
  <si>
    <t>Raft board surface area</t>
  </si>
  <si>
    <t>Total Raft Boards</t>
  </si>
  <si>
    <t>Trough width</t>
  </si>
  <si>
    <t>Trough Length</t>
  </si>
  <si>
    <t>Total Trough</t>
  </si>
  <si>
    <t xml:space="preserve">Water depth </t>
  </si>
  <si>
    <t>Plant density</t>
  </si>
  <si>
    <t>Rev per sq unit of growing area</t>
  </si>
  <si>
    <t>DWC % of gross sq units</t>
  </si>
  <si>
    <t>Rev per gross sq units of building area</t>
  </si>
  <si>
    <t>Added Imperial and Metric Units</t>
  </si>
  <si>
    <t>Total number of Raft boards from above</t>
  </si>
  <si>
    <r>
      <t>Number of Raft Groups (</t>
    </r>
    <r>
      <rPr>
        <sz val="10"/>
        <color rgb="FF000000"/>
        <rFont val="Calibri"/>
        <family val="2"/>
      </rPr>
      <t>≈</t>
    </r>
    <r>
      <rPr>
        <sz val="10"/>
        <color rgb="FF000000"/>
        <rFont val="Arial"/>
        <family val="2"/>
      </rPr>
      <t xml:space="preserve"> 4 rafts per group)</t>
    </r>
  </si>
  <si>
    <t>Total DWC Growout area</t>
  </si>
  <si>
    <t>Number of transplanting rafts</t>
  </si>
  <si>
    <t>Number of weeks transplanting rafts are in trough</t>
  </si>
  <si>
    <t>Total number of transplanting rafts</t>
  </si>
  <si>
    <t xml:space="preserve">Minimum area of DWC transplanting trough </t>
  </si>
  <si>
    <t>DWC Transplanting Trough (Uses TAPS 2x2' raft = 4 sq ft or .37 sq m)</t>
  </si>
  <si>
    <t xml:space="preserve">Imperial </t>
  </si>
  <si>
    <t>Metric</t>
  </si>
  <si>
    <t>Select Metric or Imperial units from drop down menu  &gt;&gt;&gt;</t>
  </si>
  <si>
    <t>Actual design area of DWC transplanting trough</t>
  </si>
  <si>
    <t>Water depth</t>
  </si>
  <si>
    <t xml:space="preserve">Fingerling Stocking size </t>
  </si>
  <si>
    <t xml:space="preserve">Avg harvest weight of fish </t>
  </si>
  <si>
    <t>Total DWC area</t>
  </si>
  <si>
    <t>Total daily feed input</t>
  </si>
  <si>
    <t>Annual feed input (daily feed x 365)</t>
  </si>
  <si>
    <t xml:space="preserve">Volume of water per fish at harvest weight </t>
  </si>
  <si>
    <t xml:space="preserve">Feed conversion efficiency coefficient </t>
  </si>
  <si>
    <t>Building Area</t>
  </si>
  <si>
    <t>Enter area of each media bed  &gt;&gt;&gt;</t>
  </si>
  <si>
    <t xml:space="preserve">Daily Feed Input </t>
  </si>
  <si>
    <t>Feeding rate per unit area (m2 or ft2)</t>
  </si>
  <si>
    <t xml:space="preserve">Indicates the final stocking density for the adult cohort on their last day before harvest </t>
  </si>
  <si>
    <t>Volume per tank</t>
  </si>
  <si>
    <t xml:space="preserve">Total Plant System </t>
  </si>
  <si>
    <t xml:space="preserve">Total Fish System </t>
  </si>
  <si>
    <t xml:space="preserve">Total System </t>
  </si>
  <si>
    <t>avg. monthly top off</t>
  </si>
  <si>
    <t>Total Startup Capital -</t>
  </si>
  <si>
    <t>Sum of all Capital Categories -</t>
  </si>
  <si>
    <t>pea shoots</t>
  </si>
  <si>
    <t>air blower</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</si>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</sst>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m/yyyy"/>
    <numFmt numFmtId="168" formatCode="#,##0;\(#,##0\)"/>
    <numFmt numFmtId="169" formatCode="_(* #,##0_);_(* \(#,##0\);_(* &quot;-&quot;??_);_(@_)"/>
    <numFmt numFmtId="170" formatCode="0.0%"/>
    <numFmt numFmtId="171" formatCode="_(&quot;$&quot;* #,##0_);_(&quot;$&quot;* \(#,##0\);_(&quot;$&quot;* &quot;-&quot;??_);_(@_)"/>
    <numFmt numFmtId="172" formatCode="#,##0.0"/>
    <numFmt numFmtId="173" formatCode="&quot;$&quot;#,##0.0"/>
    <numFmt numFmtId="174" formatCode="_(&quot;$&quot;* #,##0_);_(&quot;$&quot;* \(#,##0\);_(&quot;$&quot;* &quot;-&quot;?_);_(@_)"/>
    <numFmt numFmtId="175" formatCode="m/d/yyyy\ h:mm:ss"/>
    <numFmt numFmtId="176" formatCode="_(&quot;$&quot;* #,##0.0_);_(&quot;$&quot;* \(#,##0.0\);_(&quot;$&quot;* &quot;-&quot;??_);_(@_)"/>
    <numFmt numFmtId="177" formatCode="_(&quot;$&quot;* #,##0.0_);_(&quot;$&quot;* \(#,##0.0\);_(&quot;$&quot;* &quot;-&quot;?_);_(@_)"/>
    <numFmt numFmtId="178" formatCode="_-[$$-C09]* #,##0_-;\-[$$-C09]* #,##0_-;_-[$$-C09]* &quot;-&quot;_-;_-@_-"/>
    <numFmt numFmtId="179" formatCode="0.000"/>
    <numFmt numFmtId="180" formatCode="0.0000"/>
  </numFmts>
  <fonts count="76">
    <font>
      <sz val="10"/>
      <color rgb="FF000000"/>
      <name val="Arial"/>
    </font>
    <font>
      <sz val="11"/>
      <color theme="1"/>
      <name val="Calibri"/>
      <family val="2"/>
      <scheme val="minor"/>
    </font>
    <font>
      <sz val="10"/>
      <name val="Arial"/>
      <family val="2"/>
    </font>
    <font>
      <sz val="14"/>
      <name val="Arial"/>
      <family val="2"/>
    </font>
    <font>
      <b/>
      <sz val="14"/>
      <name val="Arial"/>
      <family val="2"/>
    </font>
    <font>
      <b/>
      <sz val="10"/>
      <name val="Arial"/>
      <family val="2"/>
    </font>
    <font>
      <b/>
      <sz val="10"/>
      <name val="Arial"/>
      <family val="2"/>
    </font>
    <font>
      <sz val="10"/>
      <name val="Arial"/>
      <family val="2"/>
    </font>
    <font>
      <sz val="10"/>
      <name val="Arial"/>
      <family val="2"/>
    </font>
    <font>
      <b/>
      <sz val="14"/>
      <name val="Arial"/>
      <family val="2"/>
    </font>
    <font>
      <sz val="10"/>
      <color rgb="FF000000"/>
      <name val="Arial"/>
      <family val="2"/>
    </font>
    <font>
      <b/>
      <sz val="10"/>
      <name val="Arial"/>
      <family val="2"/>
    </font>
    <font>
      <sz val="11"/>
      <color rgb="FF000000"/>
      <name val="Inconsolata"/>
    </font>
    <font>
      <b/>
      <sz val="10"/>
      <color rgb="FF000000"/>
      <name val="Arial"/>
      <family val="2"/>
    </font>
    <font>
      <sz val="11"/>
      <color rgb="FF212121"/>
      <name val="Roboto"/>
    </font>
    <font>
      <sz val="10"/>
      <color rgb="FF222222"/>
      <name val="Guardian"/>
    </font>
    <font>
      <b/>
      <sz val="10"/>
      <name val="Arial"/>
      <family val="2"/>
    </font>
    <font>
      <sz val="10"/>
      <name val="Arial"/>
      <family val="2"/>
    </font>
    <font>
      <sz val="12"/>
      <color rgb="FF1155CC"/>
      <name val="Arial"/>
      <family val="2"/>
    </font>
    <font>
      <sz val="12"/>
      <name val="Arial"/>
      <family val="2"/>
    </font>
    <font>
      <sz val="12"/>
      <name val="Arial"/>
      <family val="2"/>
    </font>
    <font>
      <b/>
      <sz val="10"/>
      <color rgb="FF000000"/>
      <name val="Arial"/>
      <family val="2"/>
    </font>
    <font>
      <b/>
      <sz val="14"/>
      <color rgb="FF000000"/>
      <name val="Arial"/>
      <family val="2"/>
    </font>
    <font>
      <sz val="8"/>
      <name val="Arial"/>
      <family val="2"/>
    </font>
    <font>
      <b/>
      <sz val="8"/>
      <name val="Arial"/>
      <family val="2"/>
    </font>
    <font>
      <b/>
      <i/>
      <sz val="10"/>
      <name val="Arial"/>
      <family val="2"/>
    </font>
    <font>
      <b/>
      <sz val="16"/>
      <color rgb="FF000000"/>
      <name val="Arial"/>
      <family val="2"/>
    </font>
    <font>
      <sz val="10"/>
      <color rgb="FF000000"/>
      <name val="Arial"/>
      <family val="2"/>
    </font>
    <font>
      <sz val="10"/>
      <color rgb="FF000000"/>
      <name val="Arial"/>
      <family val="2"/>
    </font>
    <font>
      <sz val="10"/>
      <color rgb="FF000000"/>
      <name val="Inconsolata"/>
    </font>
    <font>
      <sz val="11"/>
      <color rgb="FF000000"/>
      <name val="Calibri"/>
      <family val="2"/>
    </font>
    <font>
      <sz val="8"/>
      <color rgb="FF000000"/>
      <name val="Arial"/>
      <family val="2"/>
    </font>
    <font>
      <b/>
      <sz val="24"/>
      <name val="Arial"/>
      <family val="2"/>
    </font>
    <font>
      <b/>
      <sz val="16"/>
      <name val="Arial"/>
      <family val="2"/>
    </font>
    <font>
      <b/>
      <sz val="18"/>
      <name val="Arial"/>
      <family val="2"/>
    </font>
    <font>
      <b/>
      <sz val="8"/>
      <name val="Arial"/>
      <family val="2"/>
    </font>
    <font>
      <sz val="8"/>
      <name val="Arial"/>
      <family val="2"/>
    </font>
    <font>
      <b/>
      <i/>
      <sz val="10"/>
      <name val="Arial"/>
      <family val="2"/>
    </font>
    <font>
      <b/>
      <sz val="16"/>
      <name val="Arial"/>
      <family val="2"/>
    </font>
    <font>
      <b/>
      <sz val="12"/>
      <name val="Arial"/>
      <family val="2"/>
    </font>
    <font>
      <b/>
      <sz val="11"/>
      <name val="Calibri"/>
      <family val="2"/>
    </font>
    <font>
      <sz val="11"/>
      <name val="Calibri"/>
      <family val="2"/>
    </font>
    <font>
      <sz val="10"/>
      <color rgb="FF000000"/>
      <name val="Arial"/>
      <family val="2"/>
    </font>
    <font>
      <sz val="9"/>
      <color rgb="FF000000"/>
      <name val="Arial"/>
      <family val="2"/>
    </font>
    <font>
      <sz val="12"/>
      <color rgb="FF000000"/>
      <name val="Arial"/>
      <family val="2"/>
    </font>
    <font>
      <sz val="10"/>
      <color rgb="FF000000"/>
      <name val="Arial"/>
      <family val="2"/>
    </font>
    <font>
      <sz val="10"/>
      <name val="Arial"/>
      <family val="2"/>
    </font>
    <font>
      <u/>
      <sz val="10"/>
      <color indexed="12"/>
      <name val="Arial"/>
      <family val="2"/>
    </font>
    <font>
      <sz val="9"/>
      <name val="Arial"/>
      <family val="2"/>
    </font>
    <font>
      <b/>
      <sz val="9"/>
      <color rgb="FF000000"/>
      <name val="Arial"/>
      <family val="2"/>
    </font>
    <font>
      <b/>
      <sz val="11"/>
      <color theme="1"/>
      <name val="Calibri"/>
      <family val="2"/>
      <scheme val="minor"/>
    </font>
    <font>
      <sz val="11"/>
      <color indexed="8"/>
      <name val="Calibri"/>
      <family val="2"/>
      <charset val="238"/>
    </font>
    <font>
      <b/>
      <sz val="14"/>
      <color theme="4" tint="-0.499984740745262"/>
      <name val="Calibri"/>
      <family val="2"/>
      <charset val="238"/>
    </font>
    <font>
      <b/>
      <sz val="11"/>
      <color theme="4" tint="-0.499984740745262"/>
      <name val="Calibri"/>
      <family val="2"/>
    </font>
    <font>
      <b/>
      <sz val="11"/>
      <color theme="4" tint="-0.499984740745262"/>
      <name val="Calibri"/>
      <family val="2"/>
      <charset val="238"/>
    </font>
    <font>
      <b/>
      <sz val="11"/>
      <color theme="1" tint="0.249977111117893"/>
      <name val="Calibri"/>
      <family val="2"/>
      <charset val="238"/>
    </font>
    <font>
      <b/>
      <sz val="12"/>
      <color theme="3"/>
      <name val="Calibri"/>
      <family val="2"/>
      <scheme val="minor"/>
    </font>
    <font>
      <b/>
      <sz val="11"/>
      <color theme="0"/>
      <name val="Calibri"/>
      <family val="2"/>
      <charset val="238"/>
    </font>
    <font>
      <sz val="11"/>
      <color theme="2" tint="-0.749992370372631"/>
      <name val="Calibri"/>
      <family val="2"/>
      <charset val="238"/>
    </font>
    <font>
      <sz val="11"/>
      <color theme="1"/>
      <name val="Calibri"/>
      <family val="2"/>
      <charset val="238"/>
      <scheme val="minor"/>
    </font>
    <font>
      <b/>
      <sz val="11"/>
      <color theme="0"/>
      <name val="Calibri"/>
      <family val="2"/>
    </font>
    <font>
      <sz val="11"/>
      <color theme="1"/>
      <name val="Calibri"/>
      <family val="2"/>
      <charset val="238"/>
    </font>
    <font>
      <sz val="11"/>
      <name val="Calibri"/>
      <family val="2"/>
      <scheme val="minor"/>
    </font>
    <font>
      <b/>
      <sz val="12"/>
      <color theme="0"/>
      <name val="Calibri"/>
      <family val="2"/>
      <scheme val="minor"/>
    </font>
    <font>
      <b/>
      <sz val="12"/>
      <color theme="0"/>
      <name val="Calibri"/>
      <family val="2"/>
      <charset val="238"/>
    </font>
    <font>
      <sz val="11"/>
      <color theme="2" tint="-0.749992370372631"/>
      <name val="Calibri"/>
      <family val="2"/>
    </font>
    <font>
      <b/>
      <sz val="11"/>
      <color theme="2" tint="-0.749992370372631"/>
      <name val="Calibri"/>
      <family val="2"/>
      <charset val="238"/>
    </font>
    <font>
      <b/>
      <i/>
      <sz val="11"/>
      <color theme="2" tint="-0.749992370372631"/>
      <name val="Calibri"/>
      <family val="2"/>
      <charset val="238"/>
    </font>
    <font>
      <i/>
      <sz val="11"/>
      <color theme="2" tint="-0.749992370372631"/>
      <name val="Calibri"/>
      <family val="2"/>
      <charset val="238"/>
    </font>
    <font>
      <b/>
      <i/>
      <sz val="11"/>
      <color theme="0"/>
      <name val="Calibri"/>
      <family val="2"/>
      <charset val="238"/>
    </font>
    <font>
      <sz val="9"/>
      <color indexed="81"/>
      <name val="Tahoma"/>
      <family val="2"/>
    </font>
    <font>
      <b/>
      <sz val="9"/>
      <color indexed="81"/>
      <name val="Tahoma"/>
      <family val="2"/>
    </font>
    <font>
      <sz val="14"/>
      <color rgb="FF000000"/>
      <name val="Arial"/>
      <family val="2"/>
    </font>
    <font>
      <b/>
      <sz val="10"/>
      <color rgb="FFFF0000"/>
      <name val="Arial"/>
      <family val="2"/>
    </font>
    <font>
      <sz val="11"/>
      <color rgb="FF000000"/>
      <name val="Arial"/>
      <family val="2"/>
    </font>
    <font>
      <sz val="10"/>
      <color rgb="FF000000"/>
      <name val="Calibri"/>
      <family val="2"/>
    </font>
  </fonts>
  <fills count="86">
    <fill>
      <patternFill patternType="none"/>
    </fill>
    <fill>
      <patternFill patternType="gray125"/>
    </fill>
    <fill>
      <patternFill patternType="solid">
        <fgColor rgb="FFB6D7A8"/>
        <bgColor rgb="FFB6D7A8"/>
      </patternFill>
    </fill>
    <fill>
      <patternFill patternType="solid">
        <fgColor rgb="FFD6E3BC"/>
        <bgColor rgb="FFD6E3BC"/>
      </patternFill>
    </fill>
    <fill>
      <patternFill patternType="solid">
        <fgColor rgb="FFA2C4C9"/>
        <bgColor rgb="FFA2C4C9"/>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D9EAD3"/>
        <bgColor rgb="FFD9EAD3"/>
      </patternFill>
    </fill>
    <fill>
      <patternFill patternType="solid">
        <fgColor rgb="FFEFEFEF"/>
        <bgColor rgb="FFEFEFEF"/>
      </patternFill>
    </fill>
    <fill>
      <patternFill patternType="solid">
        <fgColor rgb="FFCCC0D9"/>
        <bgColor rgb="FFCCC0D9"/>
      </patternFill>
    </fill>
    <fill>
      <patternFill patternType="solid">
        <fgColor rgb="FFFFE599"/>
        <bgColor rgb="FFFFE599"/>
      </patternFill>
    </fill>
    <fill>
      <patternFill patternType="solid">
        <fgColor rgb="FFD9D2E9"/>
        <bgColor rgb="FFD9D2E9"/>
      </patternFill>
    </fill>
    <fill>
      <patternFill patternType="solid">
        <fgColor rgb="FFD9D9D9"/>
        <bgColor rgb="FFD9D9D9"/>
      </patternFill>
    </fill>
    <fill>
      <patternFill patternType="solid">
        <fgColor rgb="FFFFFF00"/>
        <bgColor rgb="FFFFFF00"/>
      </patternFill>
    </fill>
    <fill>
      <patternFill patternType="solid">
        <fgColor rgb="FF93C47D"/>
        <bgColor rgb="FF93C47D"/>
      </patternFill>
    </fill>
    <fill>
      <patternFill patternType="solid">
        <fgColor rgb="FFFFFF99"/>
        <bgColor rgb="FFFFFF99"/>
      </patternFill>
    </fill>
    <fill>
      <patternFill patternType="solid">
        <fgColor rgb="FFFFD966"/>
        <bgColor rgb="FFFFD966"/>
      </patternFill>
    </fill>
    <fill>
      <patternFill patternType="solid">
        <fgColor rgb="FFF1C232"/>
        <bgColor rgb="FFF1C232"/>
      </patternFill>
    </fill>
    <fill>
      <patternFill patternType="solid">
        <fgColor rgb="FFF4CCCC"/>
        <bgColor rgb="FFF4CCCC"/>
      </patternFill>
    </fill>
    <fill>
      <patternFill patternType="solid">
        <fgColor rgb="FFB7B7B7"/>
        <bgColor rgb="FFB7B7B7"/>
      </patternFill>
    </fill>
    <fill>
      <patternFill patternType="solid">
        <fgColor rgb="FFCCFFCC"/>
        <bgColor rgb="FFCCFFCC"/>
      </patternFill>
    </fill>
    <fill>
      <patternFill patternType="solid">
        <fgColor rgb="FFD8D8D8"/>
        <bgColor rgb="FFD8D8D8"/>
      </patternFill>
    </fill>
    <fill>
      <patternFill patternType="solid">
        <fgColor rgb="FFFCE5CD"/>
        <bgColor rgb="FFFCE5CD"/>
      </patternFill>
    </fill>
    <fill>
      <patternFill patternType="solid">
        <fgColor theme="8" tint="0.79998168889431442"/>
        <bgColor rgb="FFD9EAD3"/>
      </patternFill>
    </fill>
    <fill>
      <patternFill patternType="solid">
        <fgColor theme="2"/>
        <bgColor rgb="FFC9DAF8"/>
      </patternFill>
    </fill>
    <fill>
      <patternFill patternType="solid">
        <fgColor theme="0"/>
        <bgColor rgb="FFFFFF00"/>
      </patternFill>
    </fill>
    <fill>
      <patternFill patternType="solid">
        <fgColor theme="0"/>
        <bgColor rgb="FFD9EAD3"/>
      </patternFill>
    </fill>
    <fill>
      <patternFill patternType="solid">
        <fgColor theme="0"/>
        <bgColor rgb="FFCFE2F3"/>
      </patternFill>
    </fill>
    <fill>
      <patternFill patternType="solid">
        <fgColor theme="0" tint="-0.14999847407452621"/>
        <bgColor rgb="FFC9DAF8"/>
      </patternFill>
    </fill>
    <fill>
      <patternFill patternType="solid">
        <fgColor theme="0"/>
        <bgColor indexed="64"/>
      </patternFill>
    </fill>
    <fill>
      <patternFill patternType="solid">
        <fgColor theme="9" tint="0.59999389629810485"/>
        <bgColor rgb="FFCCFFCC"/>
      </patternFill>
    </fill>
    <fill>
      <patternFill patternType="solid">
        <fgColor theme="9" tint="0.59999389629810485"/>
        <bgColor rgb="FFD9EAD3"/>
      </patternFill>
    </fill>
    <fill>
      <patternFill patternType="solid">
        <fgColor theme="9" tint="0.79998168889431442"/>
        <bgColor rgb="FFD9EAD3"/>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0"/>
        <bgColor rgb="FFEFEFEF"/>
      </patternFill>
    </fill>
    <fill>
      <patternFill patternType="solid">
        <fgColor theme="8" tint="0.79998168889431442"/>
        <bgColor indexed="64"/>
      </patternFill>
    </fill>
    <fill>
      <patternFill patternType="solid">
        <fgColor theme="0" tint="-4.9989318521683403E-2"/>
        <bgColor rgb="FFC9DAF8"/>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rgb="FFEFEFEF"/>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rgb="FFFFFFFF"/>
      </patternFill>
    </fill>
    <fill>
      <patternFill patternType="solid">
        <fgColor rgb="FFBDD6EE"/>
        <bgColor rgb="FFBDD6EE"/>
      </patternFill>
    </fill>
    <fill>
      <patternFill patternType="solid">
        <fgColor theme="8" tint="0.59999389629810485"/>
        <bgColor rgb="FFCFE2F3"/>
      </patternFill>
    </fill>
    <fill>
      <patternFill patternType="solid">
        <fgColor theme="0"/>
        <bgColor rgb="FF00FF00"/>
      </patternFill>
    </fill>
    <fill>
      <patternFill patternType="solid">
        <fgColor theme="0"/>
        <bgColor rgb="FFFFFF99"/>
      </patternFill>
    </fill>
    <fill>
      <patternFill patternType="solid">
        <fgColor theme="7" tint="0.79998168889431442"/>
        <bgColor rgb="FFFFF2CC"/>
      </patternFill>
    </fill>
    <fill>
      <patternFill patternType="solid">
        <fgColor theme="7"/>
        <bgColor rgb="FFC9DAF8"/>
      </patternFill>
    </fill>
    <fill>
      <patternFill patternType="solid">
        <fgColor theme="5" tint="0.59999389629810485"/>
        <bgColor rgb="FFFFFFFF"/>
      </patternFill>
    </fill>
    <fill>
      <patternFill patternType="solid">
        <fgColor theme="7" tint="0.39997558519241921"/>
        <bgColor rgb="FFC9DAF8"/>
      </patternFill>
    </fill>
    <fill>
      <patternFill patternType="solid">
        <fgColor theme="8" tint="0.59999389629810485"/>
        <bgColor rgb="FFFFFFFF"/>
      </patternFill>
    </fill>
    <fill>
      <patternFill patternType="solid">
        <fgColor rgb="FFFFC000"/>
        <bgColor indexed="64"/>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D9EAD3"/>
      </patternFill>
    </fill>
    <fill>
      <patternFill patternType="solid">
        <fgColor theme="0" tint="-0.14999847407452621"/>
        <bgColor rgb="FFEFEFEF"/>
      </patternFill>
    </fill>
    <fill>
      <patternFill patternType="solid">
        <fgColor theme="5" tint="0.59999389629810485"/>
        <bgColor rgb="FFEFEFEF"/>
      </patternFill>
    </fill>
    <fill>
      <patternFill patternType="solid">
        <fgColor theme="1" tint="0.34998626667073579"/>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theme="3"/>
        <bgColor indexed="64"/>
      </patternFill>
    </fill>
    <fill>
      <patternFill patternType="solid">
        <fgColor theme="2" tint="-0.249977111117893"/>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249977111117893"/>
        <bgColor indexed="64"/>
      </patternFill>
    </fill>
    <fill>
      <patternFill patternType="solid">
        <fgColor rgb="FFFFC000"/>
        <bgColor rgb="FFD9EAD3"/>
      </patternFill>
    </fill>
    <fill>
      <patternFill patternType="solid">
        <fgColor rgb="FFFFC000"/>
        <bgColor rgb="FFCCFFCC"/>
      </patternFill>
    </fill>
    <fill>
      <patternFill patternType="solid">
        <fgColor theme="7" tint="0.59999389629810485"/>
        <bgColor indexed="64"/>
      </patternFill>
    </fill>
    <fill>
      <patternFill patternType="solid">
        <fgColor rgb="FF0070C0"/>
        <bgColor indexed="64"/>
      </patternFill>
    </fill>
    <fill>
      <patternFill patternType="solid">
        <fgColor theme="0" tint="-0.14999847407452621"/>
        <bgColor rgb="FFCFE2F3"/>
      </patternFill>
    </fill>
    <fill>
      <patternFill patternType="solid">
        <fgColor theme="0" tint="-0.249977111117893"/>
        <bgColor rgb="FFCFE2F3"/>
      </patternFill>
    </fill>
    <fill>
      <patternFill patternType="solid">
        <fgColor theme="0" tint="-0.249977111117893"/>
        <bgColor rgb="FFEFEFEF"/>
      </patternFill>
    </fill>
    <fill>
      <patternFill patternType="solid">
        <fgColor theme="0" tint="-0.249977111117893"/>
        <bgColor indexed="64"/>
      </patternFill>
    </fill>
    <fill>
      <patternFill patternType="solid">
        <fgColor theme="0" tint="-0.249977111117893"/>
        <bgColor rgb="FFC9DAF8"/>
      </patternFill>
    </fill>
    <fill>
      <patternFill patternType="solid">
        <fgColor theme="0" tint="-0.14999847407452621"/>
        <bgColor rgb="FFFFFFFF"/>
      </patternFill>
    </fill>
    <fill>
      <patternFill patternType="solid">
        <fgColor theme="0"/>
        <bgColor rgb="FFB6D7A8"/>
      </patternFill>
    </fill>
    <fill>
      <patternFill patternType="solid">
        <fgColor rgb="FFFFC000"/>
        <bgColor rgb="FFFFFFFF"/>
      </patternFill>
    </fill>
    <fill>
      <patternFill patternType="solid">
        <fgColor theme="0" tint="-0.14999847407452621"/>
        <bgColor rgb="FFD9EAD3"/>
      </patternFill>
    </fill>
    <fill>
      <patternFill patternType="solid">
        <fgColor theme="0" tint="-4.9989318521683403E-2"/>
        <bgColor rgb="FFFFFFFF"/>
      </patternFill>
    </fill>
    <fill>
      <patternFill patternType="solid">
        <fgColor theme="0" tint="-0.249977111117893"/>
        <bgColor rgb="FFFFD966"/>
      </patternFill>
    </fill>
  </fills>
  <borders count="1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double">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indexed="64"/>
      </right>
      <top style="thin">
        <color rgb="FF000000"/>
      </top>
      <bottom style="double">
        <color rgb="FF000000"/>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44" fontId="42" fillId="0" borderId="0" applyFont="0" applyFill="0" applyBorder="0" applyAlignment="0" applyProtection="0"/>
    <xf numFmtId="43" fontId="45" fillId="0" borderId="0" applyFont="0" applyFill="0" applyBorder="0" applyAlignment="0" applyProtection="0"/>
    <xf numFmtId="0" fontId="46" fillId="0" borderId="45"/>
    <xf numFmtId="0" fontId="47" fillId="0" borderId="45" applyNumberFormat="0" applyFill="0" applyBorder="0" applyAlignment="0" applyProtection="0">
      <alignment vertical="top"/>
      <protection locked="0"/>
    </xf>
    <xf numFmtId="43" fontId="2" fillId="0" borderId="45" applyFont="0" applyFill="0" applyBorder="0" applyAlignment="0" applyProtection="0"/>
    <xf numFmtId="0" fontId="10" fillId="0" borderId="45"/>
    <xf numFmtId="44" fontId="10" fillId="0" borderId="45" applyFont="0" applyFill="0" applyBorder="0" applyAlignment="0" applyProtection="0"/>
    <xf numFmtId="43" fontId="10" fillId="0" borderId="45" applyFont="0" applyFill="0" applyBorder="0" applyAlignment="0" applyProtection="0"/>
    <xf numFmtId="9" fontId="10" fillId="0" borderId="45" applyFont="0" applyFill="0" applyBorder="0" applyAlignment="0" applyProtection="0"/>
    <xf numFmtId="0" fontId="2" fillId="0" borderId="45"/>
    <xf numFmtId="0" fontId="1" fillId="0" borderId="45"/>
    <xf numFmtId="0" fontId="56" fillId="0" borderId="45">
      <alignment horizontal="right" indent="1"/>
    </xf>
    <xf numFmtId="0" fontId="1" fillId="0" borderId="45">
      <alignment horizontal="right" wrapText="1" indent="1"/>
    </xf>
    <xf numFmtId="42" fontId="1" fillId="62" borderId="101" applyNumberFormat="0" applyFont="0" applyAlignment="0">
      <alignment horizontal="center"/>
    </xf>
    <xf numFmtId="0" fontId="59" fillId="0" borderId="45"/>
    <xf numFmtId="42" fontId="62" fillId="63" borderId="101" applyNumberFormat="0" applyFont="0" applyAlignment="0"/>
    <xf numFmtId="0" fontId="63" fillId="64" borderId="45">
      <alignment horizontal="right" vertical="center" indent="1"/>
    </xf>
    <xf numFmtId="42" fontId="62" fillId="66" borderId="101" applyNumberFormat="0" applyFont="0" applyAlignment="0"/>
  </cellStyleXfs>
  <cellXfs count="1541">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7" fillId="5" borderId="0" xfId="0" applyFont="1" applyFill="1" applyAlignment="1">
      <alignment vertical="center"/>
    </xf>
    <xf numFmtId="0" fontId="7" fillId="0" borderId="1" xfId="0" applyFont="1" applyBorder="1" applyAlignment="1">
      <alignment vertical="center"/>
    </xf>
    <xf numFmtId="167" fontId="10" fillId="6" borderId="1" xfId="0" applyNumberFormat="1" applyFont="1" applyFill="1" applyBorder="1" applyAlignment="1">
      <alignment horizontal="center" vertical="center"/>
    </xf>
    <xf numFmtId="0" fontId="11" fillId="0" borderId="1" xfId="0" applyFont="1" applyBorder="1" applyAlignment="1">
      <alignment vertical="center"/>
    </xf>
    <xf numFmtId="0" fontId="7" fillId="6" borderId="1" xfId="0" applyFont="1" applyFill="1" applyBorder="1" applyAlignment="1">
      <alignment horizontal="center" vertical="center"/>
    </xf>
    <xf numFmtId="166" fontId="7" fillId="0" borderId="1" xfId="0" applyNumberFormat="1" applyFont="1" applyBorder="1" applyAlignment="1">
      <alignment horizontal="center" vertical="center"/>
    </xf>
    <xf numFmtId="0" fontId="7" fillId="9" borderId="1" xfId="0" applyFont="1" applyFill="1" applyBorder="1" applyAlignment="1">
      <alignment vertical="center"/>
    </xf>
    <xf numFmtId="0" fontId="7" fillId="0" borderId="1" xfId="0" applyFont="1" applyBorder="1" applyAlignment="1">
      <alignment vertical="center"/>
    </xf>
    <xf numFmtId="165" fontId="7" fillId="0" borderId="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1" fontId="7" fillId="0" borderId="1" xfId="0" applyNumberFormat="1" applyFont="1" applyBorder="1" applyAlignment="1">
      <alignment horizontal="center" vertical="center"/>
    </xf>
    <xf numFmtId="42" fontId="8" fillId="0" borderId="0" xfId="0" applyNumberFormat="1" applyFont="1" applyAlignment="1">
      <alignment vertical="center"/>
    </xf>
    <xf numFmtId="1" fontId="7" fillId="0" borderId="1" xfId="0" applyNumberFormat="1" applyFont="1" applyBorder="1" applyAlignment="1">
      <alignment horizontal="center" vertical="center"/>
    </xf>
    <xf numFmtId="0" fontId="11" fillId="10" borderId="1" xfId="0" applyFont="1" applyFill="1" applyBorder="1" applyAlignment="1">
      <alignment vertical="center"/>
    </xf>
    <xf numFmtId="0" fontId="7" fillId="5" borderId="1" xfId="0" applyFont="1" applyFill="1" applyBorder="1" applyAlignment="1">
      <alignment vertical="center" wrapTex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10" borderId="1" xfId="0" applyFont="1" applyFill="1" applyBorder="1" applyAlignment="1">
      <alignment vertical="center"/>
    </xf>
    <xf numFmtId="0" fontId="7" fillId="5" borderId="0" xfId="0" applyFont="1" applyFill="1" applyAlignment="1">
      <alignment vertical="center"/>
    </xf>
    <xf numFmtId="0" fontId="0" fillId="0" borderId="0" xfId="0" applyFont="1" applyAlignment="1">
      <alignment vertical="center"/>
    </xf>
    <xf numFmtId="169" fontId="8" fillId="0" borderId="0" xfId="0" applyNumberFormat="1" applyFont="1" applyAlignment="1">
      <alignment vertical="center"/>
    </xf>
    <xf numFmtId="0" fontId="17" fillId="0" borderId="0" xfId="0" applyFont="1" applyAlignment="1">
      <alignment vertical="center"/>
    </xf>
    <xf numFmtId="0" fontId="22" fillId="5" borderId="0" xfId="0" applyFont="1" applyFill="1" applyAlignment="1">
      <alignment vertical="center"/>
    </xf>
    <xf numFmtId="0" fontId="0"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8" fillId="5" borderId="0" xfId="0" applyFont="1" applyFill="1" applyAlignment="1">
      <alignment vertical="center"/>
    </xf>
    <xf numFmtId="0" fontId="7" fillId="5" borderId="1" xfId="0" applyFont="1" applyFill="1" applyBorder="1" applyAlignment="1">
      <alignment vertical="center"/>
    </xf>
    <xf numFmtId="0" fontId="17" fillId="5" borderId="0" xfId="0" applyFont="1" applyFill="1" applyAlignment="1">
      <alignment vertical="center"/>
    </xf>
    <xf numFmtId="0" fontId="8" fillId="5" borderId="0" xfId="0" applyFont="1" applyFill="1" applyAlignment="1">
      <alignment vertical="center"/>
    </xf>
    <xf numFmtId="0" fontId="7" fillId="9" borderId="1" xfId="0" applyFont="1" applyFill="1" applyBorder="1" applyAlignment="1">
      <alignment horizontal="center" vertical="center" wrapText="1"/>
    </xf>
    <xf numFmtId="0" fontId="7" fillId="0" borderId="0" xfId="0" applyFont="1" applyAlignment="1">
      <alignment horizontal="center" vertical="center"/>
    </xf>
    <xf numFmtId="173" fontId="0" fillId="0" borderId="1" xfId="0" applyNumberFormat="1" applyFont="1" applyBorder="1" applyAlignment="1">
      <alignment horizontal="center" vertical="center"/>
    </xf>
    <xf numFmtId="0" fontId="8" fillId="0" borderId="0" xfId="0" applyFont="1" applyAlignment="1">
      <alignment vertical="center" wrapText="1"/>
    </xf>
    <xf numFmtId="3" fontId="7" fillId="10" borderId="1" xfId="0" applyNumberFormat="1" applyFont="1" applyFill="1" applyBorder="1" applyAlignment="1">
      <alignment horizontal="center" vertical="center"/>
    </xf>
    <xf numFmtId="172" fontId="0" fillId="0" borderId="1" xfId="0" applyNumberFormat="1" applyFont="1" applyBorder="1" applyAlignment="1">
      <alignment horizontal="center" vertical="center"/>
    </xf>
    <xf numFmtId="0" fontId="7" fillId="5" borderId="0" xfId="0" applyFont="1" applyFill="1" applyAlignment="1">
      <alignment vertical="center" wrapText="1"/>
    </xf>
    <xf numFmtId="0" fontId="7" fillId="5" borderId="0" xfId="0" applyFont="1" applyFill="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0" xfId="0" applyFont="1" applyAlignment="1">
      <alignment vertical="center" wrapText="1"/>
    </xf>
    <xf numFmtId="0" fontId="36" fillId="0" borderId="0" xfId="0" applyFont="1" applyAlignment="1">
      <alignment vertical="center"/>
    </xf>
    <xf numFmtId="9" fontId="7" fillId="0" borderId="1" xfId="0" applyNumberFormat="1" applyFont="1" applyBorder="1" applyAlignment="1">
      <alignment horizontal="center" vertical="center"/>
    </xf>
    <xf numFmtId="0" fontId="0" fillId="0" borderId="1" xfId="0" applyFont="1" applyBorder="1" applyAlignment="1">
      <alignment vertical="center"/>
    </xf>
    <xf numFmtId="164" fontId="7" fillId="5" borderId="1" xfId="0" applyNumberFormat="1" applyFont="1" applyFill="1" applyBorder="1" applyAlignment="1">
      <alignment horizontal="center" vertical="center"/>
    </xf>
    <xf numFmtId="0" fontId="17" fillId="10" borderId="14" xfId="0" applyFont="1" applyFill="1" applyBorder="1" applyAlignment="1">
      <alignment vertical="center" wrapText="1"/>
    </xf>
    <xf numFmtId="3"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44" fontId="8" fillId="0" borderId="0" xfId="0" applyNumberFormat="1" applyFont="1" applyAlignment="1">
      <alignment vertical="center"/>
    </xf>
    <xf numFmtId="0" fontId="6" fillId="0" borderId="0" xfId="0" applyFont="1" applyAlignment="1">
      <alignment vertical="center"/>
    </xf>
    <xf numFmtId="0" fontId="8" fillId="5" borderId="7" xfId="0" applyFont="1" applyFill="1" applyBorder="1" applyAlignment="1">
      <alignment horizontal="center" vertical="center"/>
    </xf>
    <xf numFmtId="44" fontId="6" fillId="0" borderId="0" xfId="0" applyNumberFormat="1" applyFont="1" applyAlignment="1">
      <alignment vertical="center"/>
    </xf>
    <xf numFmtId="169" fontId="8" fillId="0" borderId="0" xfId="0" applyNumberFormat="1" applyFont="1" applyAlignment="1">
      <alignment horizontal="right" vertical="center"/>
    </xf>
    <xf numFmtId="43" fontId="8" fillId="0" borderId="0" xfId="0" applyNumberFormat="1" applyFont="1" applyAlignment="1">
      <alignment vertical="center"/>
    </xf>
    <xf numFmtId="0" fontId="8" fillId="0" borderId="0" xfId="0" applyFont="1" applyAlignment="1">
      <alignment horizontal="right" vertical="center"/>
    </xf>
    <xf numFmtId="9" fontId="6" fillId="5" borderId="7" xfId="0" applyNumberFormat="1" applyFont="1" applyFill="1" applyBorder="1" applyAlignment="1">
      <alignment horizontal="center" vertical="center"/>
    </xf>
    <xf numFmtId="6" fontId="8" fillId="5" borderId="7" xfId="0" applyNumberFormat="1" applyFont="1" applyFill="1" applyBorder="1" applyAlignment="1">
      <alignment vertical="center"/>
    </xf>
    <xf numFmtId="42" fontId="6" fillId="5" borderId="7" xfId="0" applyNumberFormat="1" applyFont="1" applyFill="1" applyBorder="1" applyAlignment="1">
      <alignment vertical="center"/>
    </xf>
    <xf numFmtId="42" fontId="8" fillId="5" borderId="7" xfId="0" applyNumberFormat="1" applyFont="1" applyFill="1" applyBorder="1" applyAlignment="1">
      <alignment vertical="center"/>
    </xf>
    <xf numFmtId="9" fontId="6" fillId="5" borderId="7" xfId="0" applyNumberFormat="1" applyFont="1" applyFill="1" applyBorder="1" applyAlignment="1">
      <alignment vertical="center"/>
    </xf>
    <xf numFmtId="6" fontId="6" fillId="5" borderId="7" xfId="0" applyNumberFormat="1" applyFont="1" applyFill="1" applyBorder="1" applyAlignment="1">
      <alignment vertical="center"/>
    </xf>
    <xf numFmtId="0" fontId="41" fillId="0" borderId="0" xfId="0" applyFont="1" applyAlignment="1">
      <alignment horizontal="left" vertical="top" wrapText="1"/>
    </xf>
    <xf numFmtId="0" fontId="11" fillId="0" borderId="0" xfId="0" applyFont="1" applyAlignment="1">
      <alignment vertical="center"/>
    </xf>
    <xf numFmtId="0" fontId="7" fillId="10" borderId="1" xfId="0" applyFont="1" applyFill="1" applyBorder="1" applyAlignment="1">
      <alignment vertical="center"/>
    </xf>
    <xf numFmtId="0" fontId="11" fillId="10" borderId="1" xfId="0" applyFont="1" applyFill="1" applyBorder="1" applyAlignment="1">
      <alignment horizontal="center" vertical="center"/>
    </xf>
    <xf numFmtId="0" fontId="7" fillId="10" borderId="1" xfId="0" applyFont="1" applyFill="1" applyBorder="1" applyAlignment="1">
      <alignment horizontal="center" vertical="center"/>
    </xf>
    <xf numFmtId="165" fontId="7" fillId="5" borderId="1" xfId="0" applyNumberFormat="1" applyFont="1" applyFill="1" applyBorder="1" applyAlignment="1">
      <alignment horizontal="center" vertical="center"/>
    </xf>
    <xf numFmtId="0" fontId="7" fillId="15" borderId="0" xfId="0" applyFont="1" applyFill="1" applyAlignment="1">
      <alignment vertical="center"/>
    </xf>
    <xf numFmtId="0" fontId="7" fillId="15" borderId="0" xfId="0" applyFont="1" applyFill="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172" fontId="7" fillId="9" borderId="1"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172" fontId="7" fillId="0" borderId="1" xfId="0" applyNumberFormat="1" applyFont="1" applyBorder="1" applyAlignment="1">
      <alignment horizontal="center" vertical="center"/>
    </xf>
    <xf numFmtId="172" fontId="7" fillId="10" borderId="1" xfId="0" applyNumberFormat="1" applyFont="1" applyFill="1" applyBorder="1" applyAlignment="1">
      <alignment horizontal="center" vertical="center"/>
    </xf>
    <xf numFmtId="1" fontId="7" fillId="8" borderId="1" xfId="0" applyNumberFormat="1" applyFont="1" applyFill="1" applyBorder="1" applyAlignment="1">
      <alignment vertical="center"/>
    </xf>
    <xf numFmtId="1" fontId="7" fillId="8" borderId="1" xfId="0" applyNumberFormat="1" applyFont="1" applyFill="1" applyBorder="1" applyAlignment="1">
      <alignment horizontal="center" vertical="center"/>
    </xf>
    <xf numFmtId="1" fontId="7" fillId="5" borderId="1" xfId="0" applyNumberFormat="1" applyFont="1" applyFill="1" applyBorder="1" applyAlignment="1">
      <alignment vertical="center"/>
    </xf>
    <xf numFmtId="1" fontId="7" fillId="0" borderId="1" xfId="0" applyNumberFormat="1" applyFont="1" applyBorder="1" applyAlignment="1">
      <alignment vertical="center"/>
    </xf>
    <xf numFmtId="1" fontId="7" fillId="10" borderId="1" xfId="0" applyNumberFormat="1" applyFont="1" applyFill="1" applyBorder="1" applyAlignment="1">
      <alignment vertical="center"/>
    </xf>
    <xf numFmtId="1" fontId="7" fillId="10" borderId="1" xfId="0" applyNumberFormat="1" applyFont="1" applyFill="1" applyBorder="1" applyAlignment="1">
      <alignment horizontal="center" vertical="center"/>
    </xf>
    <xf numFmtId="165" fontId="7" fillId="10"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7" fillId="8"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wrapText="1"/>
    </xf>
    <xf numFmtId="1" fontId="7" fillId="10" borderId="1" xfId="0" applyNumberFormat="1" applyFont="1" applyFill="1" applyBorder="1" applyAlignment="1">
      <alignment horizontal="center" vertical="center" wrapText="1"/>
    </xf>
    <xf numFmtId="173" fontId="7" fillId="10" borderId="1" xfId="0" applyNumberFormat="1" applyFont="1" applyFill="1" applyBorder="1" applyAlignment="1">
      <alignment horizontal="center" vertical="center" wrapText="1"/>
    </xf>
    <xf numFmtId="0" fontId="7" fillId="5" borderId="5" xfId="0" applyFont="1" applyFill="1" applyBorder="1" applyAlignment="1">
      <alignment vertical="center"/>
    </xf>
    <xf numFmtId="0" fontId="7" fillId="9" borderId="33" xfId="0" applyFont="1" applyFill="1" applyBorder="1" applyAlignment="1">
      <alignment vertical="center" wrapText="1"/>
    </xf>
    <xf numFmtId="0" fontId="7" fillId="5" borderId="1" xfId="0" applyFont="1" applyFill="1" applyBorder="1" applyAlignment="1">
      <alignment horizontal="center" vertical="center"/>
    </xf>
    <xf numFmtId="9" fontId="7" fillId="5" borderId="1" xfId="0" applyNumberFormat="1" applyFont="1" applyFill="1" applyBorder="1" applyAlignment="1">
      <alignment horizontal="center" vertical="center"/>
    </xf>
    <xf numFmtId="172" fontId="7" fillId="5"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5" borderId="0" xfId="0" applyFont="1" applyFill="1" applyAlignment="1">
      <alignment horizontal="center" vertical="center" wrapText="1"/>
    </xf>
    <xf numFmtId="173" fontId="7" fillId="5" borderId="1" xfId="0" applyNumberFormat="1" applyFont="1" applyFill="1" applyBorder="1" applyAlignment="1">
      <alignment horizontal="center" vertical="center"/>
    </xf>
    <xf numFmtId="173" fontId="7" fillId="10"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7" fillId="8" borderId="1" xfId="0" applyFont="1" applyFill="1" applyBorder="1" applyAlignment="1">
      <alignment vertical="center" wrapText="1"/>
    </xf>
    <xf numFmtId="164" fontId="7"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xf>
    <xf numFmtId="0" fontId="7" fillId="9" borderId="1" xfId="0" applyFont="1" applyFill="1" applyBorder="1" applyAlignment="1">
      <alignment horizontal="left" vertical="center"/>
    </xf>
    <xf numFmtId="0" fontId="7" fillId="5" borderId="1" xfId="0" applyFont="1" applyFill="1" applyBorder="1" applyAlignment="1">
      <alignment horizontal="left" vertical="center"/>
    </xf>
    <xf numFmtId="9" fontId="7" fillId="5" borderId="1" xfId="0" applyNumberFormat="1" applyFont="1" applyFill="1" applyBorder="1" applyAlignment="1">
      <alignment horizontal="center" vertical="center"/>
    </xf>
    <xf numFmtId="0" fontId="7" fillId="10" borderId="1" xfId="0" applyFont="1" applyFill="1" applyBorder="1" applyAlignment="1">
      <alignment horizontal="left" vertical="center"/>
    </xf>
    <xf numFmtId="0" fontId="7" fillId="9" borderId="1" xfId="0" applyFont="1" applyFill="1" applyBorder="1" applyAlignment="1">
      <alignment horizontal="left" vertical="center" wrapText="1"/>
    </xf>
    <xf numFmtId="9" fontId="7" fillId="0" borderId="1" xfId="0" applyNumberFormat="1" applyFont="1" applyBorder="1" applyAlignment="1">
      <alignment horizontal="center" vertical="center"/>
    </xf>
    <xf numFmtId="165" fontId="7" fillId="10" borderId="1" xfId="0" applyNumberFormat="1" applyFont="1" applyFill="1" applyBorder="1" applyAlignment="1">
      <alignment horizontal="center" vertical="center"/>
    </xf>
    <xf numFmtId="172" fontId="7" fillId="0" borderId="0" xfId="0" applyNumberFormat="1" applyFont="1" applyAlignment="1">
      <alignment vertical="center"/>
    </xf>
    <xf numFmtId="3" fontId="7" fillId="9" borderId="1" xfId="0" applyNumberFormat="1" applyFont="1" applyFill="1" applyBorder="1" applyAlignment="1">
      <alignment horizontal="center" vertical="center" wrapText="1"/>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169" fontId="7" fillId="8" borderId="1" xfId="0" applyNumberFormat="1" applyFont="1" applyFill="1" applyBorder="1" applyAlignment="1">
      <alignment horizontal="center" vertical="center"/>
    </xf>
    <xf numFmtId="171" fontId="7" fillId="10" borderId="1" xfId="0" applyNumberFormat="1" applyFont="1" applyFill="1" applyBorder="1" applyAlignment="1">
      <alignment vertical="center"/>
    </xf>
    <xf numFmtId="171" fontId="7" fillId="0" borderId="1" xfId="0" applyNumberFormat="1" applyFont="1" applyBorder="1" applyAlignment="1">
      <alignment vertical="center"/>
    </xf>
    <xf numFmtId="165" fontId="7"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xf>
    <xf numFmtId="3" fontId="7" fillId="8" borderId="1" xfId="0" applyNumberFormat="1" applyFont="1" applyFill="1" applyBorder="1" applyAlignment="1">
      <alignment horizontal="center" vertical="center"/>
    </xf>
    <xf numFmtId="3" fontId="7" fillId="0" borderId="0" xfId="0" applyNumberFormat="1" applyFont="1" applyAlignment="1">
      <alignment vertical="center"/>
    </xf>
    <xf numFmtId="165" fontId="7" fillId="0" borderId="0" xfId="0" applyNumberFormat="1" applyFont="1" applyAlignment="1">
      <alignment vertical="center"/>
    </xf>
    <xf numFmtId="0" fontId="16" fillId="0" borderId="42" xfId="0" applyFont="1" applyBorder="1" applyAlignment="1">
      <alignment vertical="center"/>
    </xf>
    <xf numFmtId="0" fontId="16" fillId="0" borderId="5" xfId="0" applyFont="1" applyBorder="1" applyAlignment="1">
      <alignment vertical="center"/>
    </xf>
    <xf numFmtId="0" fontId="17" fillId="0" borderId="5" xfId="0" applyFont="1" applyBorder="1" applyAlignment="1">
      <alignment vertical="center"/>
    </xf>
    <xf numFmtId="1" fontId="7" fillId="8" borderId="1"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4" xfId="0" applyFont="1" applyFill="1" applyBorder="1" applyAlignment="1">
      <alignment vertical="center" wrapText="1"/>
    </xf>
    <xf numFmtId="0" fontId="17" fillId="8" borderId="4"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166" fontId="17" fillId="8" borderId="4"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1" fontId="17" fillId="0" borderId="14" xfId="0" applyNumberFormat="1" applyFont="1" applyBorder="1" applyAlignment="1">
      <alignment horizontal="center" vertical="center" wrapText="1"/>
    </xf>
    <xf numFmtId="1" fontId="17" fillId="0" borderId="14" xfId="0" applyNumberFormat="1" applyFont="1" applyBorder="1" applyAlignment="1">
      <alignment horizontal="center" vertical="center"/>
    </xf>
    <xf numFmtId="166" fontId="17" fillId="0" borderId="14" xfId="0" applyNumberFormat="1" applyFont="1" applyBorder="1" applyAlignment="1">
      <alignment horizontal="center" vertical="center"/>
    </xf>
    <xf numFmtId="166" fontId="7" fillId="10" borderId="1" xfId="0" applyNumberFormat="1" applyFont="1" applyFill="1" applyBorder="1" applyAlignment="1">
      <alignment horizontal="center" vertical="center"/>
    </xf>
    <xf numFmtId="0" fontId="17" fillId="0" borderId="33" xfId="0" applyFont="1" applyBorder="1" applyAlignment="1">
      <alignment horizontal="center" vertical="center"/>
    </xf>
    <xf numFmtId="0" fontId="17" fillId="0" borderId="14" xfId="0" applyFont="1" applyBorder="1" applyAlignment="1">
      <alignment vertical="center"/>
    </xf>
    <xf numFmtId="0" fontId="17" fillId="10" borderId="33" xfId="0" applyFont="1" applyFill="1" applyBorder="1" applyAlignment="1">
      <alignment vertical="center"/>
    </xf>
    <xf numFmtId="0" fontId="17" fillId="10" borderId="14" xfId="0" applyFont="1" applyFill="1" applyBorder="1" applyAlignment="1">
      <alignment vertical="center"/>
    </xf>
    <xf numFmtId="0" fontId="17" fillId="10" borderId="14" xfId="0" applyFont="1" applyFill="1" applyBorder="1" applyAlignment="1">
      <alignment horizontal="center" vertical="center"/>
    </xf>
    <xf numFmtId="166" fontId="17" fillId="10" borderId="14" xfId="0" applyNumberFormat="1" applyFont="1" applyFill="1" applyBorder="1" applyAlignment="1">
      <alignment horizontal="center" vertical="center"/>
    </xf>
    <xf numFmtId="3" fontId="17" fillId="10" borderId="14" xfId="0" applyNumberFormat="1" applyFont="1" applyFill="1" applyBorder="1" applyAlignment="1">
      <alignment horizontal="center" vertical="center"/>
    </xf>
    <xf numFmtId="0" fontId="7" fillId="8" borderId="2" xfId="0" applyFont="1" applyFill="1" applyBorder="1" applyAlignment="1">
      <alignment vertical="center" wrapText="1"/>
    </xf>
    <xf numFmtId="166" fontId="7" fillId="8" borderId="1"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0" borderId="2" xfId="0" applyFont="1" applyBorder="1" applyAlignment="1">
      <alignment vertical="center"/>
    </xf>
    <xf numFmtId="173" fontId="7" fillId="0" borderId="4" xfId="0" applyNumberFormat="1" applyFont="1" applyBorder="1" applyAlignment="1">
      <alignment horizontal="center" vertical="center"/>
    </xf>
    <xf numFmtId="173" fontId="7" fillId="0" borderId="1" xfId="0" applyNumberFormat="1" applyFont="1" applyBorder="1" applyAlignment="1">
      <alignment horizontal="center" vertical="center"/>
    </xf>
    <xf numFmtId="0" fontId="17" fillId="0" borderId="33" xfId="0" applyFont="1" applyBorder="1" applyAlignment="1">
      <alignment vertical="center"/>
    </xf>
    <xf numFmtId="3" fontId="7" fillId="5" borderId="0" xfId="0" applyNumberFormat="1" applyFont="1" applyFill="1" applyAlignment="1">
      <alignment horizontal="center" vertical="center"/>
    </xf>
    <xf numFmtId="0" fontId="7" fillId="10" borderId="2" xfId="0" applyFont="1" applyFill="1" applyBorder="1" applyAlignment="1">
      <alignment vertical="center"/>
    </xf>
    <xf numFmtId="173" fontId="7" fillId="10" borderId="4" xfId="0" applyNumberFormat="1"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11" fillId="5" borderId="0" xfId="0" applyFont="1" applyFill="1" applyAlignment="1">
      <alignment vertical="center"/>
    </xf>
    <xf numFmtId="173" fontId="7" fillId="0" borderId="1" xfId="0" applyNumberFormat="1" applyFont="1" applyBorder="1" applyAlignment="1">
      <alignment horizontal="center" vertical="center"/>
    </xf>
    <xf numFmtId="4" fontId="0" fillId="8" borderId="1" xfId="0" applyNumberFormat="1" applyFont="1" applyFill="1" applyBorder="1" applyAlignment="1">
      <alignment vertical="center"/>
    </xf>
    <xf numFmtId="3" fontId="0" fillId="8" borderId="1" xfId="0" applyNumberFormat="1" applyFont="1" applyFill="1" applyBorder="1" applyAlignment="1">
      <alignment horizontal="center" vertical="center"/>
    </xf>
    <xf numFmtId="4" fontId="0" fillId="0" borderId="1" xfId="0" applyNumberFormat="1" applyFont="1" applyBorder="1" applyAlignment="1">
      <alignment vertical="center"/>
    </xf>
    <xf numFmtId="165" fontId="0" fillId="10" borderId="1" xfId="0" applyNumberFormat="1" applyFont="1" applyFill="1" applyBorder="1" applyAlignment="1">
      <alignment vertical="center"/>
    </xf>
    <xf numFmtId="165" fontId="0" fillId="10" borderId="1" xfId="0" applyNumberFormat="1" applyFont="1" applyFill="1" applyBorder="1" applyAlignment="1">
      <alignment horizontal="center" vertical="center"/>
    </xf>
    <xf numFmtId="173" fontId="0" fillId="0" borderId="1" xfId="0" applyNumberFormat="1" applyFont="1" applyBorder="1" applyAlignment="1">
      <alignment horizontal="center" vertical="center"/>
    </xf>
    <xf numFmtId="0" fontId="0" fillId="10" borderId="1" xfId="0" applyFont="1" applyFill="1" applyBorder="1" applyAlignment="1">
      <alignment vertical="center"/>
    </xf>
    <xf numFmtId="165" fontId="0"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7" fillId="10" borderId="1" xfId="0" applyNumberFormat="1" applyFont="1" applyFill="1" applyBorder="1" applyAlignment="1">
      <alignment vertical="center"/>
    </xf>
    <xf numFmtId="164" fontId="7" fillId="10" borderId="1" xfId="0" applyNumberFormat="1" applyFont="1" applyFill="1" applyBorder="1" applyAlignment="1">
      <alignment horizontal="center" vertical="center"/>
    </xf>
    <xf numFmtId="0" fontId="7" fillId="9" borderId="1" xfId="0" applyFont="1" applyFill="1" applyBorder="1" applyAlignment="1">
      <alignment vertical="center" wrapText="1"/>
    </xf>
    <xf numFmtId="165" fontId="7" fillId="9" borderId="1" xfId="0" applyNumberFormat="1"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166" fontId="2" fillId="5" borderId="1" xfId="0" applyNumberFormat="1"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vertical="center" wrapText="1"/>
      <protection hidden="1"/>
    </xf>
    <xf numFmtId="3" fontId="6" fillId="3" borderId="1" xfId="0" applyNumberFormat="1" applyFont="1" applyFill="1" applyBorder="1" applyAlignment="1" applyProtection="1">
      <alignment horizontal="center" vertical="center"/>
      <protection hidden="1"/>
    </xf>
    <xf numFmtId="0" fontId="7" fillId="5" borderId="0" xfId="0" applyFont="1" applyFill="1" applyAlignment="1" applyProtection="1">
      <alignment vertical="center"/>
      <protection hidden="1"/>
    </xf>
    <xf numFmtId="166" fontId="2" fillId="0" borderId="1" xfId="0" applyNumberFormat="1" applyFont="1" applyBorder="1" applyAlignment="1" applyProtection="1">
      <alignment horizontal="center" vertical="center"/>
      <protection hidden="1"/>
    </xf>
    <xf numFmtId="166" fontId="7" fillId="0" borderId="1" xfId="0" applyNumberFormat="1" applyFont="1" applyBorder="1" applyAlignment="1" applyProtection="1">
      <alignment horizontal="center" vertical="center"/>
      <protection hidden="1"/>
    </xf>
    <xf numFmtId="1" fontId="2" fillId="5" borderId="1" xfId="0" applyNumberFormat="1" applyFont="1" applyFill="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42" fontId="8" fillId="0" borderId="0" xfId="0" applyNumberFormat="1" applyFont="1" applyAlignment="1" applyProtection="1">
      <alignment vertical="center"/>
      <protection hidden="1"/>
    </xf>
    <xf numFmtId="168" fontId="8" fillId="0" borderId="0" xfId="0" applyNumberFormat="1" applyFont="1" applyAlignment="1" applyProtection="1">
      <alignment horizontal="center" vertical="center"/>
      <protection hidden="1"/>
    </xf>
    <xf numFmtId="0" fontId="8" fillId="5" borderId="7" xfId="0" applyFont="1" applyFill="1" applyBorder="1" applyAlignment="1" applyProtection="1">
      <alignment vertical="center"/>
      <protection hidden="1"/>
    </xf>
    <xf numFmtId="0" fontId="0" fillId="5" borderId="0" xfId="0" applyFont="1" applyFill="1" applyAlignment="1" applyProtection="1">
      <alignment vertical="center"/>
      <protection hidden="1"/>
    </xf>
    <xf numFmtId="0" fontId="0" fillId="5" borderId="0" xfId="0" applyFont="1" applyFill="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3" fontId="6"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protection hidden="1"/>
    </xf>
    <xf numFmtId="164" fontId="8"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wrapText="1"/>
      <protection hidden="1"/>
    </xf>
    <xf numFmtId="164" fontId="8" fillId="5" borderId="0" xfId="0" applyNumberFormat="1" applyFont="1" applyFill="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8" fillId="0" borderId="0" xfId="0" applyFont="1" applyAlignment="1" applyProtection="1">
      <alignment vertical="center" wrapText="1"/>
      <protection hidden="1"/>
    </xf>
    <xf numFmtId="1" fontId="17" fillId="7" borderId="1" xfId="0" applyNumberFormat="1" applyFont="1" applyFill="1" applyBorder="1" applyAlignment="1" applyProtection="1">
      <alignment horizontal="center" vertical="center"/>
      <protection hidden="1"/>
    </xf>
    <xf numFmtId="1" fontId="21" fillId="7" borderId="1" xfId="0" applyNumberFormat="1" applyFont="1" applyFill="1" applyBorder="1" applyAlignment="1" applyProtection="1">
      <alignment horizontal="center" vertical="center"/>
      <protection hidden="1"/>
    </xf>
    <xf numFmtId="1" fontId="21" fillId="5" borderId="1"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1"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0" fontId="8"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wrapText="1"/>
      <protection hidden="1"/>
    </xf>
    <xf numFmtId="170" fontId="8" fillId="5" borderId="0" xfId="0" applyNumberFormat="1" applyFont="1" applyFill="1" applyAlignment="1" applyProtection="1">
      <alignment horizontal="center" vertical="center"/>
      <protection hidden="1"/>
    </xf>
    <xf numFmtId="1" fontId="21" fillId="5" borderId="0" xfId="0" applyNumberFormat="1" applyFont="1" applyFill="1" applyAlignment="1" applyProtection="1">
      <alignment horizontal="center" vertical="center"/>
      <protection hidden="1"/>
    </xf>
    <xf numFmtId="170" fontId="6" fillId="5" borderId="0" xfId="0" applyNumberFormat="1" applyFont="1" applyFill="1" applyAlignment="1" applyProtection="1">
      <alignment horizontal="center" vertical="center"/>
      <protection hidden="1"/>
    </xf>
    <xf numFmtId="1" fontId="0" fillId="0" borderId="0" xfId="0" applyNumberFormat="1" applyFont="1" applyAlignment="1" applyProtection="1">
      <alignment horizontal="center" vertical="center"/>
      <protection hidden="1"/>
    </xf>
    <xf numFmtId="1" fontId="8" fillId="6" borderId="1" xfId="0" applyNumberFormat="1" applyFont="1" applyFill="1" applyBorder="1" applyAlignment="1" applyProtection="1">
      <alignment horizontal="center" vertical="center"/>
      <protection locked="0" hidden="1"/>
    </xf>
    <xf numFmtId="0" fontId="10" fillId="0" borderId="0" xfId="0" applyFont="1" applyAlignment="1" applyProtection="1">
      <alignment vertical="center"/>
      <protection hidden="1"/>
    </xf>
    <xf numFmtId="0" fontId="7" fillId="28" borderId="0" xfId="0" applyFont="1" applyFill="1" applyAlignment="1">
      <alignment vertical="center"/>
    </xf>
    <xf numFmtId="164" fontId="7" fillId="5" borderId="1" xfId="0" applyNumberFormat="1" applyFont="1" applyFill="1" applyBorder="1" applyAlignment="1" applyProtection="1">
      <alignment horizontal="center" vertical="center"/>
      <protection locked="0"/>
    </xf>
    <xf numFmtId="44" fontId="8" fillId="0" borderId="0" xfId="0" applyNumberFormat="1" applyFont="1" applyAlignment="1" applyProtection="1">
      <alignment vertical="center"/>
      <protection hidden="1"/>
    </xf>
    <xf numFmtId="0" fontId="8" fillId="5" borderId="7" xfId="0" applyFont="1" applyFill="1" applyBorder="1" applyAlignment="1" applyProtection="1">
      <alignment horizontal="center" vertical="center"/>
      <protection hidden="1"/>
    </xf>
    <xf numFmtId="176" fontId="8" fillId="5" borderId="7" xfId="0" applyNumberFormat="1" applyFont="1" applyFill="1" applyBorder="1" applyAlignment="1" applyProtection="1">
      <alignment horizontal="center" vertical="center"/>
      <protection hidden="1"/>
    </xf>
    <xf numFmtId="9" fontId="6" fillId="5" borderId="7" xfId="0" applyNumberFormat="1" applyFont="1" applyFill="1" applyBorder="1" applyAlignment="1" applyProtection="1">
      <alignment horizontal="center" vertical="center"/>
      <protection hidden="1"/>
    </xf>
    <xf numFmtId="6" fontId="8" fillId="5" borderId="7" xfId="0" applyNumberFormat="1" applyFont="1" applyFill="1" applyBorder="1" applyAlignment="1" applyProtection="1">
      <alignment vertical="center"/>
      <protection hidden="1"/>
    </xf>
    <xf numFmtId="0" fontId="8" fillId="10" borderId="51" xfId="0" applyFont="1" applyFill="1" applyBorder="1" applyAlignment="1" applyProtection="1">
      <alignment horizontal="center" vertical="center"/>
      <protection hidden="1"/>
    </xf>
    <xf numFmtId="0" fontId="8" fillId="10" borderId="52" xfId="0" applyFont="1" applyFill="1" applyBorder="1" applyAlignment="1" applyProtection="1">
      <alignment horizontal="center" vertical="center"/>
      <protection hidden="1"/>
    </xf>
    <xf numFmtId="0" fontId="8" fillId="10" borderId="53" xfId="0" applyFont="1" applyFill="1" applyBorder="1" applyAlignment="1" applyProtection="1">
      <alignment horizontal="center" vertical="center"/>
      <protection hidden="1"/>
    </xf>
    <xf numFmtId="3" fontId="8" fillId="5" borderId="54" xfId="0" applyNumberFormat="1" applyFont="1" applyFill="1" applyBorder="1" applyAlignment="1" applyProtection="1">
      <alignment horizontal="center" vertical="center"/>
      <protection hidden="1"/>
    </xf>
    <xf numFmtId="165" fontId="8" fillId="5" borderId="7" xfId="0" applyNumberFormat="1" applyFont="1" applyFill="1" applyBorder="1" applyAlignment="1" applyProtection="1">
      <alignment horizontal="center" vertical="center"/>
      <protection hidden="1"/>
    </xf>
    <xf numFmtId="165" fontId="8" fillId="5" borderId="55" xfId="0" applyNumberFormat="1" applyFont="1" applyFill="1" applyBorder="1" applyAlignment="1" applyProtection="1">
      <alignment horizontal="center" vertical="center"/>
      <protection hidden="1"/>
    </xf>
    <xf numFmtId="42" fontId="6" fillId="5" borderId="7" xfId="0" applyNumberFormat="1" applyFont="1" applyFill="1" applyBorder="1" applyAlignment="1" applyProtection="1">
      <alignment vertical="center"/>
      <protection hidden="1"/>
    </xf>
    <xf numFmtId="42" fontId="8" fillId="5" borderId="7" xfId="0" applyNumberFormat="1" applyFont="1" applyFill="1" applyBorder="1" applyAlignment="1" applyProtection="1">
      <alignment vertical="center"/>
      <protection hidden="1"/>
    </xf>
    <xf numFmtId="9" fontId="6" fillId="5" borderId="7" xfId="0" applyNumberFormat="1" applyFont="1" applyFill="1" applyBorder="1" applyAlignment="1" applyProtection="1">
      <alignment vertical="center"/>
      <protection hidden="1"/>
    </xf>
    <xf numFmtId="3" fontId="8" fillId="5" borderId="58" xfId="0" applyNumberFormat="1" applyFont="1" applyFill="1" applyBorder="1" applyAlignment="1" applyProtection="1">
      <alignment horizontal="center" vertical="center"/>
      <protection hidden="1"/>
    </xf>
    <xf numFmtId="165" fontId="8" fillId="5" borderId="59" xfId="0" applyNumberFormat="1" applyFont="1" applyFill="1" applyBorder="1" applyAlignment="1" applyProtection="1">
      <alignment horizontal="center" vertical="center"/>
      <protection hidden="1"/>
    </xf>
    <xf numFmtId="165" fontId="8" fillId="5" borderId="60" xfId="0" applyNumberFormat="1" applyFont="1" applyFill="1" applyBorder="1" applyAlignment="1" applyProtection="1">
      <alignment horizontal="center" vertical="center"/>
      <protection hidden="1"/>
    </xf>
    <xf numFmtId="6" fontId="6" fillId="5" borderId="7" xfId="0" applyNumberFormat="1" applyFont="1" applyFill="1" applyBorder="1" applyAlignment="1" applyProtection="1">
      <alignment vertical="center"/>
      <protection hidden="1"/>
    </xf>
    <xf numFmtId="0" fontId="41" fillId="0" borderId="0" xfId="0" applyFont="1" applyAlignment="1" applyProtection="1">
      <alignment horizontal="left" vertical="top" wrapText="1"/>
      <protection hidden="1"/>
    </xf>
    <xf numFmtId="0" fontId="0" fillId="31" borderId="0" xfId="0" applyFont="1" applyFill="1" applyAlignment="1">
      <alignment vertical="center"/>
    </xf>
    <xf numFmtId="42" fontId="8" fillId="28" borderId="0" xfId="0" applyNumberFormat="1" applyFont="1" applyFill="1" applyAlignment="1">
      <alignment vertical="center"/>
    </xf>
    <xf numFmtId="0" fontId="13" fillId="0" borderId="0" xfId="0" applyFont="1" applyAlignment="1">
      <alignment vertical="center"/>
    </xf>
    <xf numFmtId="0" fontId="1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vertical="center"/>
    </xf>
    <xf numFmtId="0" fontId="8"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31" borderId="0" xfId="0" applyFont="1" applyFill="1" applyAlignment="1" applyProtection="1">
      <alignment vertical="center"/>
    </xf>
    <xf numFmtId="0" fontId="8" fillId="5" borderId="6" xfId="0" applyFont="1" applyFill="1" applyBorder="1" applyAlignment="1" applyProtection="1">
      <alignment vertical="center"/>
    </xf>
    <xf numFmtId="0" fontId="8" fillId="5" borderId="7" xfId="0" applyFont="1" applyFill="1" applyBorder="1" applyAlignment="1" applyProtection="1">
      <alignment vertical="center"/>
    </xf>
    <xf numFmtId="42" fontId="8" fillId="0" borderId="0" xfId="0" applyNumberFormat="1" applyFont="1" applyAlignment="1" applyProtection="1">
      <alignment vertical="center"/>
    </xf>
    <xf numFmtId="9" fontId="8" fillId="0" borderId="0" xfId="0" applyNumberFormat="1" applyFont="1" applyAlignment="1" applyProtection="1">
      <alignment vertical="center"/>
    </xf>
    <xf numFmtId="171" fontId="8" fillId="0" borderId="0" xfId="1" applyNumberFormat="1" applyFont="1" applyAlignment="1" applyProtection="1">
      <alignment vertical="center"/>
    </xf>
    <xf numFmtId="171" fontId="0" fillId="0" borderId="0" xfId="0" applyNumberFormat="1" applyFont="1" applyAlignment="1" applyProtection="1">
      <alignment vertical="center"/>
    </xf>
    <xf numFmtId="42" fontId="6" fillId="0" borderId="0" xfId="0" applyNumberFormat="1" applyFont="1" applyAlignment="1" applyProtection="1">
      <alignment vertical="center"/>
    </xf>
    <xf numFmtId="0" fontId="8" fillId="5" borderId="0" xfId="0" applyFont="1" applyFill="1" applyAlignment="1" applyProtection="1">
      <alignment vertical="center"/>
    </xf>
    <xf numFmtId="0" fontId="6" fillId="5" borderId="7" xfId="0" applyFont="1" applyFill="1" applyBorder="1" applyAlignment="1" applyProtection="1">
      <alignment vertical="center"/>
    </xf>
    <xf numFmtId="0" fontId="8" fillId="5" borderId="0" xfId="0" applyFont="1" applyFill="1" applyAlignment="1" applyProtection="1">
      <alignment horizontal="center" vertical="center"/>
    </xf>
    <xf numFmtId="9" fontId="8" fillId="5" borderId="0" xfId="0" applyNumberFormat="1" applyFont="1" applyFill="1" applyAlignment="1" applyProtection="1">
      <alignment horizontal="center" vertical="center"/>
    </xf>
    <xf numFmtId="0" fontId="0" fillId="5" borderId="0" xfId="0" applyFont="1" applyFill="1" applyAlignment="1" applyProtection="1">
      <alignment vertical="center"/>
    </xf>
    <xf numFmtId="0" fontId="7" fillId="5" borderId="0" xfId="0" applyFont="1" applyFill="1" applyAlignment="1" applyProtection="1">
      <alignment vertical="center"/>
    </xf>
    <xf numFmtId="0" fontId="23" fillId="5" borderId="7" xfId="0" applyFont="1" applyFill="1" applyBorder="1" applyAlignment="1" applyProtection="1">
      <alignment vertical="center"/>
    </xf>
    <xf numFmtId="0" fontId="23" fillId="5" borderId="28" xfId="0" applyFont="1" applyFill="1" applyBorder="1" applyAlignment="1" applyProtection="1">
      <alignment vertical="center"/>
    </xf>
    <xf numFmtId="0" fontId="31" fillId="5" borderId="28" xfId="0" applyFont="1" applyFill="1" applyBorder="1" applyAlignment="1" applyProtection="1">
      <alignment horizontal="left" vertical="center"/>
    </xf>
    <xf numFmtId="0" fontId="24" fillId="5" borderId="28" xfId="0" applyFont="1" applyFill="1" applyBorder="1" applyAlignment="1" applyProtection="1">
      <alignment vertical="center"/>
    </xf>
    <xf numFmtId="0" fontId="8" fillId="0" borderId="0" xfId="0" applyFont="1" applyAlignment="1" applyProtection="1">
      <alignment horizontal="center" vertical="center"/>
    </xf>
    <xf numFmtId="9" fontId="8" fillId="0" borderId="0" xfId="0" applyNumberFormat="1" applyFont="1" applyAlignment="1" applyProtection="1">
      <alignment horizontal="center" vertical="center"/>
    </xf>
    <xf numFmtId="3" fontId="23" fillId="5" borderId="28" xfId="0" applyNumberFormat="1" applyFont="1" applyFill="1" applyBorder="1" applyAlignment="1" applyProtection="1">
      <alignment horizontal="left" vertical="center"/>
    </xf>
    <xf numFmtId="0" fontId="24" fillId="5" borderId="28" xfId="0" applyFont="1" applyFill="1" applyBorder="1" applyAlignment="1" applyProtection="1">
      <alignment horizontal="left" vertical="center"/>
    </xf>
    <xf numFmtId="0" fontId="8" fillId="5" borderId="28" xfId="0" applyFont="1" applyFill="1" applyBorder="1" applyAlignment="1" applyProtection="1">
      <alignment vertical="center"/>
    </xf>
    <xf numFmtId="0" fontId="2" fillId="0" borderId="45" xfId="6" applyFont="1" applyAlignment="1" applyProtection="1"/>
    <xf numFmtId="0" fontId="10" fillId="5" borderId="69" xfId="6" applyFont="1" applyFill="1" applyBorder="1" applyAlignment="1" applyProtection="1">
      <alignment vertical="center"/>
    </xf>
    <xf numFmtId="0" fontId="2" fillId="5" borderId="69" xfId="6" applyFont="1" applyFill="1" applyBorder="1" applyAlignment="1" applyProtection="1">
      <alignment horizontal="center" vertical="center"/>
    </xf>
    <xf numFmtId="165" fontId="2" fillId="5" borderId="69" xfId="6" applyNumberFormat="1" applyFont="1" applyFill="1" applyBorder="1" applyAlignment="1" applyProtection="1">
      <alignment horizontal="center" vertical="center"/>
    </xf>
    <xf numFmtId="0" fontId="2" fillId="5" borderId="69" xfId="6" applyFont="1" applyFill="1" applyBorder="1" applyAlignment="1" applyProtection="1">
      <alignment vertical="center"/>
    </xf>
    <xf numFmtId="9" fontId="2" fillId="46" borderId="69" xfId="6" applyNumberFormat="1" applyFont="1" applyFill="1" applyBorder="1" applyAlignment="1" applyProtection="1">
      <alignment horizontal="center" vertical="center"/>
      <protection locked="0"/>
    </xf>
    <xf numFmtId="0" fontId="2" fillId="46" borderId="69" xfId="6" applyFont="1" applyFill="1" applyBorder="1" applyAlignment="1" applyProtection="1">
      <alignment horizontal="center" vertical="center"/>
      <protection locked="0"/>
    </xf>
    <xf numFmtId="3" fontId="8"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vertical="center" wrapText="1"/>
    </xf>
    <xf numFmtId="0" fontId="2" fillId="5" borderId="1"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8" fillId="0" borderId="1" xfId="0" applyFont="1" applyBorder="1" applyAlignment="1" applyProtection="1">
      <alignment vertical="center" wrapText="1"/>
    </xf>
    <xf numFmtId="3" fontId="8"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7" fillId="0" borderId="1" xfId="0" applyFont="1" applyBorder="1" applyAlignment="1" applyProtection="1">
      <alignment vertical="center"/>
    </xf>
    <xf numFmtId="0" fontId="5" fillId="9" borderId="1" xfId="0" applyFont="1" applyFill="1" applyBorder="1" applyAlignment="1" applyProtection="1">
      <alignment vertical="center"/>
    </xf>
    <xf numFmtId="165" fontId="5" fillId="9" borderId="1" xfId="0" applyNumberFormat="1" applyFont="1" applyFill="1" applyBorder="1" applyAlignment="1" applyProtection="1">
      <alignment horizontal="center" vertical="center"/>
    </xf>
    <xf numFmtId="165" fontId="7" fillId="0" borderId="1" xfId="0" applyNumberFormat="1" applyFont="1" applyBorder="1" applyAlignment="1" applyProtection="1">
      <alignment horizontal="center" vertical="center"/>
    </xf>
    <xf numFmtId="0" fontId="11" fillId="10" borderId="1" xfId="0" applyFont="1" applyFill="1" applyBorder="1" applyAlignment="1" applyProtection="1">
      <alignment vertical="center"/>
    </xf>
    <xf numFmtId="165" fontId="11" fillId="10" borderId="1" xfId="0" applyNumberFormat="1" applyFont="1" applyFill="1" applyBorder="1" applyAlignment="1" applyProtection="1">
      <alignment horizontal="center" vertical="center"/>
    </xf>
    <xf numFmtId="0" fontId="11" fillId="5" borderId="0" xfId="0" applyFont="1" applyFill="1" applyAlignment="1" applyProtection="1">
      <alignment vertical="center"/>
    </xf>
    <xf numFmtId="0" fontId="11" fillId="5"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6" fillId="11" borderId="1" xfId="0" applyFont="1" applyFill="1" applyBorder="1" applyAlignment="1" applyProtection="1">
      <alignment vertical="center"/>
    </xf>
    <xf numFmtId="0" fontId="8" fillId="11" borderId="1" xfId="0" applyFont="1" applyFill="1" applyBorder="1" applyAlignment="1" applyProtection="1">
      <alignment vertical="center"/>
    </xf>
    <xf numFmtId="0" fontId="8" fillId="26" borderId="1" xfId="0" applyFont="1" applyFill="1" applyBorder="1" applyAlignment="1" applyProtection="1">
      <alignment vertical="center"/>
    </xf>
    <xf numFmtId="0" fontId="8" fillId="26" borderId="1" xfId="0" applyFont="1" applyFill="1" applyBorder="1" applyAlignment="1" applyProtection="1">
      <alignment horizontal="center" vertical="center"/>
    </xf>
    <xf numFmtId="0" fontId="11" fillId="12" borderId="1" xfId="0" applyFont="1" applyFill="1" applyBorder="1" applyAlignment="1" applyProtection="1">
      <alignment vertical="center"/>
    </xf>
    <xf numFmtId="1" fontId="11" fillId="12" borderId="1" xfId="0" applyNumberFormat="1" applyFont="1" applyFill="1" applyBorder="1" applyAlignment="1" applyProtection="1">
      <alignment horizontal="center" vertical="center"/>
    </xf>
    <xf numFmtId="165" fontId="5" fillId="12" borderId="1" xfId="0" applyNumberFormat="1" applyFont="1" applyFill="1" applyBorder="1" applyAlignment="1" applyProtection="1">
      <alignment horizontal="center" vertical="center"/>
    </xf>
    <xf numFmtId="0" fontId="8" fillId="0" borderId="1" xfId="0" applyFont="1" applyBorder="1" applyAlignment="1" applyProtection="1">
      <alignment vertical="center"/>
    </xf>
    <xf numFmtId="165" fontId="8" fillId="0" borderId="1" xfId="0" applyNumberFormat="1" applyFont="1" applyBorder="1" applyAlignment="1" applyProtection="1">
      <alignment horizontal="center" vertical="center"/>
    </xf>
    <xf numFmtId="0" fontId="11" fillId="0" borderId="0" xfId="0" applyFont="1" applyAlignment="1" applyProtection="1">
      <alignment vertical="center"/>
    </xf>
    <xf numFmtId="0" fontId="11" fillId="13" borderId="1" xfId="0" applyFont="1" applyFill="1" applyBorder="1" applyAlignment="1" applyProtection="1">
      <alignment vertical="center" wrapText="1"/>
    </xf>
    <xf numFmtId="0" fontId="11" fillId="13" borderId="1" xfId="0" applyFont="1" applyFill="1" applyBorder="1" applyAlignment="1" applyProtection="1">
      <alignment horizontal="center" vertical="center" wrapText="1"/>
    </xf>
    <xf numFmtId="0" fontId="8" fillId="10" borderId="1" xfId="0" applyFont="1" applyFill="1" applyBorder="1" applyAlignment="1" applyProtection="1">
      <alignment vertical="center"/>
    </xf>
    <xf numFmtId="165" fontId="8" fillId="10" borderId="1" xfId="0" applyNumberFormat="1"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7" fillId="0" borderId="1" xfId="0"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xf>
    <xf numFmtId="164" fontId="7" fillId="0" borderId="0" xfId="0" applyNumberFormat="1" applyFont="1" applyAlignment="1" applyProtection="1">
      <alignment vertical="center"/>
    </xf>
    <xf numFmtId="0" fontId="2" fillId="0" borderId="0" xfId="0" applyFont="1" applyAlignment="1" applyProtection="1">
      <alignment vertical="center" wrapText="1"/>
    </xf>
    <xf numFmtId="0" fontId="6" fillId="14" borderId="1" xfId="0" applyFont="1" applyFill="1" applyBorder="1" applyAlignment="1" applyProtection="1">
      <alignment vertical="center"/>
    </xf>
    <xf numFmtId="165" fontId="6" fillId="14" borderId="1" xfId="0" applyNumberFormat="1"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0" fontId="8" fillId="5" borderId="1" xfId="0" applyFont="1" applyFill="1" applyBorder="1" applyAlignment="1" applyProtection="1">
      <alignment vertical="center"/>
    </xf>
    <xf numFmtId="165" fontId="8" fillId="5" borderId="1" xfId="0" applyNumberFormat="1"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171" fontId="8" fillId="0" borderId="1" xfId="0" applyNumberFormat="1" applyFont="1" applyBorder="1" applyAlignment="1" applyProtection="1">
      <alignment vertical="center"/>
    </xf>
    <xf numFmtId="0" fontId="5"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3" fillId="2" borderId="1" xfId="0" applyFont="1" applyFill="1" applyBorder="1" applyAlignment="1" applyProtection="1">
      <alignment vertical="center"/>
    </xf>
    <xf numFmtId="0" fontId="7" fillId="2" borderId="1" xfId="0" applyFont="1" applyFill="1" applyBorder="1" applyAlignment="1" applyProtection="1">
      <alignment vertical="center"/>
    </xf>
    <xf numFmtId="171" fontId="8" fillId="8" borderId="1" xfId="0" applyNumberFormat="1" applyFont="1" applyFill="1" applyBorder="1" applyAlignment="1" applyProtection="1">
      <alignment horizontal="left" vertical="center"/>
    </xf>
    <xf numFmtId="165" fontId="8" fillId="8" borderId="1"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center" vertical="center"/>
    </xf>
    <xf numFmtId="0" fontId="7" fillId="0" borderId="1" xfId="0" applyFont="1" applyBorder="1" applyAlignment="1" applyProtection="1">
      <alignment horizontal="left" vertical="center"/>
    </xf>
    <xf numFmtId="0" fontId="2" fillId="27" borderId="1" xfId="0" applyFont="1" applyFill="1" applyBorder="1" applyAlignment="1" applyProtection="1">
      <alignment vertical="center" wrapText="1"/>
    </xf>
    <xf numFmtId="0" fontId="11" fillId="10" borderId="1" xfId="0" applyFont="1" applyFill="1" applyBorder="1" applyAlignment="1" applyProtection="1">
      <alignment horizontal="center" vertical="center"/>
    </xf>
    <xf numFmtId="0" fontId="7" fillId="0" borderId="0" xfId="0" applyFont="1" applyAlignment="1" applyProtection="1">
      <alignment vertical="center"/>
    </xf>
    <xf numFmtId="3" fontId="17" fillId="5" borderId="0" xfId="0" applyNumberFormat="1" applyFont="1" applyFill="1" applyAlignment="1" applyProtection="1">
      <alignment horizontal="center" vertical="center"/>
    </xf>
    <xf numFmtId="3" fontId="17" fillId="5" borderId="0" xfId="0" applyNumberFormat="1" applyFont="1" applyFill="1" applyAlignment="1" applyProtection="1">
      <alignment horizontal="center"/>
    </xf>
    <xf numFmtId="0" fontId="8" fillId="10" borderId="1" xfId="0" applyFont="1" applyFill="1" applyBorder="1" applyAlignment="1" applyProtection="1">
      <alignment vertical="center" wrapText="1"/>
    </xf>
    <xf numFmtId="0" fontId="10" fillId="0" borderId="45" xfId="0" applyFont="1" applyBorder="1" applyAlignment="1" applyProtection="1">
      <alignment vertical="center"/>
    </xf>
    <xf numFmtId="0" fontId="2" fillId="0" borderId="45" xfId="0" applyFont="1" applyBorder="1" applyAlignment="1" applyProtection="1">
      <alignment vertical="center"/>
    </xf>
    <xf numFmtId="165" fontId="7" fillId="40" borderId="69" xfId="0" applyNumberFormat="1" applyFont="1" applyFill="1" applyBorder="1" applyAlignment="1" applyProtection="1">
      <alignment horizontal="center" vertical="center"/>
    </xf>
    <xf numFmtId="165" fontId="7" fillId="40" borderId="80" xfId="0" applyNumberFormat="1" applyFont="1" applyFill="1" applyBorder="1" applyAlignment="1" applyProtection="1">
      <alignment horizontal="center" vertical="center"/>
    </xf>
    <xf numFmtId="165" fontId="0" fillId="41" borderId="80" xfId="0" applyNumberFormat="1" applyFont="1" applyFill="1" applyBorder="1" applyAlignment="1" applyProtection="1">
      <alignment horizontal="center" vertical="center"/>
    </xf>
    <xf numFmtId="165" fontId="0" fillId="41" borderId="69" xfId="2" applyNumberFormat="1" applyFont="1" applyFill="1" applyBorder="1" applyAlignment="1" applyProtection="1">
      <alignment horizontal="center" vertical="center"/>
    </xf>
    <xf numFmtId="165" fontId="0" fillId="41" borderId="80" xfId="2" applyNumberFormat="1" applyFont="1" applyFill="1" applyBorder="1" applyAlignment="1" applyProtection="1">
      <alignment horizontal="center" vertical="center"/>
    </xf>
    <xf numFmtId="165" fontId="0" fillId="31" borderId="45" xfId="0" applyNumberFormat="1" applyFont="1" applyFill="1" applyBorder="1" applyAlignment="1" applyProtection="1">
      <alignment horizontal="center" vertical="center"/>
    </xf>
    <xf numFmtId="165" fontId="0" fillId="31" borderId="45" xfId="2" applyNumberFormat="1" applyFont="1" applyFill="1" applyBorder="1" applyAlignment="1" applyProtection="1">
      <alignment horizontal="center" vertical="center"/>
    </xf>
    <xf numFmtId="168" fontId="8" fillId="0" borderId="44" xfId="0" applyNumberFormat="1" applyFont="1" applyBorder="1" applyAlignment="1" applyProtection="1">
      <alignment horizontal="center" vertical="center"/>
    </xf>
    <xf numFmtId="168" fontId="8" fillId="0" borderId="1" xfId="0" applyNumberFormat="1" applyFont="1" applyBorder="1" applyAlignment="1" applyProtection="1">
      <alignment horizontal="center" vertical="center"/>
    </xf>
    <xf numFmtId="168" fontId="12" fillId="5" borderId="44" xfId="0" applyNumberFormat="1" applyFont="1" applyFill="1" applyBorder="1" applyAlignment="1" applyProtection="1">
      <alignment horizontal="center" vertical="center"/>
    </xf>
    <xf numFmtId="168" fontId="12" fillId="5" borderId="1" xfId="0" applyNumberFormat="1" applyFont="1" applyFill="1" applyBorder="1" applyAlignment="1" applyProtection="1">
      <alignment horizontal="center" vertical="center"/>
    </xf>
    <xf numFmtId="9" fontId="8" fillId="0" borderId="44" xfId="0" applyNumberFormat="1" applyFont="1" applyBorder="1" applyAlignment="1" applyProtection="1">
      <alignment horizontal="center" vertical="center"/>
    </xf>
    <xf numFmtId="9" fontId="8" fillId="0" borderId="1" xfId="0" applyNumberFormat="1" applyFont="1" applyBorder="1" applyAlignment="1" applyProtection="1">
      <alignment horizontal="center" vertical="center"/>
    </xf>
    <xf numFmtId="168" fontId="7" fillId="0" borderId="0" xfId="0" applyNumberFormat="1" applyFont="1" applyAlignment="1" applyProtection="1">
      <alignment vertical="center"/>
    </xf>
    <xf numFmtId="0" fontId="9" fillId="0" borderId="0" xfId="0" applyFont="1" applyAlignment="1" applyProtection="1">
      <alignment vertical="center"/>
    </xf>
    <xf numFmtId="168" fontId="2" fillId="0" borderId="1" xfId="0" applyNumberFormat="1" applyFont="1" applyBorder="1" applyAlignment="1" applyProtection="1">
      <alignment vertical="center"/>
    </xf>
    <xf numFmtId="168" fontId="0" fillId="0" borderId="0" xfId="0" applyNumberFormat="1" applyFont="1" applyAlignment="1" applyProtection="1">
      <alignment vertical="center"/>
    </xf>
    <xf numFmtId="165" fontId="0" fillId="0" borderId="0" xfId="0" applyNumberFormat="1" applyFont="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2" fillId="0" borderId="0" xfId="0" applyFont="1" applyAlignment="1" applyProtection="1">
      <alignment vertical="center"/>
    </xf>
    <xf numFmtId="0" fontId="17" fillId="0" borderId="19" xfId="0" applyFont="1" applyBorder="1" applyAlignment="1" applyProtection="1">
      <alignment vertical="center"/>
    </xf>
    <xf numFmtId="0" fontId="20" fillId="0" borderId="20" xfId="0" applyFont="1" applyBorder="1" applyAlignment="1" applyProtection="1">
      <alignment vertical="center"/>
    </xf>
    <xf numFmtId="0" fontId="2" fillId="9" borderId="1" xfId="0"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protection locked="0"/>
    </xf>
    <xf numFmtId="166" fontId="2" fillId="5" borderId="1" xfId="0" applyNumberFormat="1" applyFont="1" applyFill="1" applyBorder="1" applyAlignment="1" applyProtection="1">
      <alignment horizontal="center" vertical="center"/>
    </xf>
    <xf numFmtId="172" fontId="2" fillId="0" borderId="1" xfId="0" applyNumberFormat="1" applyFont="1" applyBorder="1" applyAlignment="1" applyProtection="1">
      <alignment horizontal="center" vertical="center"/>
    </xf>
    <xf numFmtId="165" fontId="2" fillId="16" borderId="1" xfId="0" applyNumberFormat="1"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7" fillId="0" borderId="20" xfId="0" applyFont="1" applyBorder="1" applyAlignment="1" applyProtection="1">
      <alignment vertical="center"/>
    </xf>
    <xf numFmtId="0" fontId="17" fillId="0" borderId="1" xfId="0" applyFont="1" applyBorder="1" applyAlignment="1" applyProtection="1">
      <alignment vertical="center"/>
    </xf>
    <xf numFmtId="0" fontId="0" fillId="31" borderId="45" xfId="0" applyFont="1" applyFill="1" applyBorder="1" applyAlignment="1" applyProtection="1">
      <alignment vertical="center"/>
    </xf>
    <xf numFmtId="0" fontId="44" fillId="0" borderId="0" xfId="0" applyFont="1" applyAlignment="1" applyProtection="1"/>
    <xf numFmtId="168" fontId="2" fillId="0" borderId="1" xfId="0" applyNumberFormat="1" applyFont="1" applyBorder="1" applyAlignment="1" applyProtection="1">
      <alignment horizontal="center" vertical="center"/>
    </xf>
    <xf numFmtId="0" fontId="11" fillId="10" borderId="23" xfId="0" applyFont="1" applyFill="1" applyBorder="1" applyAlignment="1" applyProtection="1">
      <alignment vertical="center"/>
    </xf>
    <xf numFmtId="0" fontId="26" fillId="5" borderId="0" xfId="0" applyFont="1" applyFill="1" applyAlignment="1" applyProtection="1">
      <alignment vertical="center"/>
    </xf>
    <xf numFmtId="0" fontId="27" fillId="5" borderId="0" xfId="0" applyFont="1" applyFill="1" applyAlignment="1" applyProtection="1">
      <alignment vertical="center"/>
    </xf>
    <xf numFmtId="0" fontId="28" fillId="5" borderId="0" xfId="0" applyFont="1" applyFill="1" applyAlignment="1" applyProtection="1">
      <alignment vertical="center"/>
    </xf>
    <xf numFmtId="0" fontId="0" fillId="5" borderId="0" xfId="0" applyFont="1" applyFill="1" applyAlignment="1" applyProtection="1">
      <alignment horizontal="center" vertical="center"/>
    </xf>
    <xf numFmtId="172" fontId="0" fillId="5" borderId="0" xfId="0" applyNumberFormat="1" applyFont="1" applyFill="1" applyAlignment="1" applyProtection="1">
      <alignment horizontal="center"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center" vertical="top"/>
    </xf>
    <xf numFmtId="0" fontId="0" fillId="0" borderId="0" xfId="0" applyFont="1" applyAlignment="1" applyProtection="1">
      <alignment vertical="top"/>
    </xf>
    <xf numFmtId="0" fontId="2" fillId="10"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172" fontId="8" fillId="10" borderId="1" xfId="0" applyNumberFormat="1" applyFont="1" applyFill="1" applyBorder="1" applyAlignment="1" applyProtection="1">
      <alignment horizontal="center" vertical="center" wrapText="1"/>
    </xf>
    <xf numFmtId="9" fontId="8" fillId="10"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23" fillId="5" borderId="0" xfId="0" applyFont="1" applyFill="1" applyAlignment="1" applyProtection="1">
      <alignment vertical="center"/>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172" fontId="8" fillId="0" borderId="1" xfId="0" applyNumberFormat="1" applyFont="1" applyBorder="1" applyAlignment="1" applyProtection="1">
      <alignment horizontal="center" vertical="center"/>
    </xf>
    <xf numFmtId="172" fontId="8" fillId="6" borderId="1" xfId="0" applyNumberFormat="1" applyFont="1" applyFill="1" applyBorder="1" applyAlignment="1" applyProtection="1">
      <alignment horizontal="center" vertical="center"/>
      <protection locked="0"/>
    </xf>
    <xf numFmtId="9" fontId="8" fillId="6"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2" fillId="6"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3" fontId="0" fillId="5" borderId="1" xfId="0" applyNumberFormat="1" applyFont="1" applyFill="1" applyBorder="1" applyAlignment="1" applyProtection="1">
      <alignment horizontal="center" vertical="center"/>
    </xf>
    <xf numFmtId="0" fontId="7" fillId="10" borderId="1" xfId="0" applyFont="1" applyFill="1" applyBorder="1" applyAlignment="1" applyProtection="1">
      <alignment vertical="center"/>
    </xf>
    <xf numFmtId="0" fontId="6" fillId="10" borderId="1" xfId="0" applyFont="1" applyFill="1" applyBorder="1" applyAlignment="1" applyProtection="1">
      <alignment vertical="center"/>
    </xf>
    <xf numFmtId="0" fontId="5" fillId="0" borderId="1" xfId="0" applyFont="1" applyBorder="1" applyAlignment="1" applyProtection="1">
      <alignment vertical="center"/>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center" vertical="center"/>
    </xf>
    <xf numFmtId="3" fontId="6" fillId="0" borderId="1" xfId="0" applyNumberFormat="1" applyFont="1" applyBorder="1" applyAlignment="1" applyProtection="1">
      <alignment horizontal="center" vertical="center"/>
    </xf>
    <xf numFmtId="172" fontId="6" fillId="0" borderId="1" xfId="0" applyNumberFormat="1" applyFont="1" applyBorder="1" applyAlignment="1" applyProtection="1">
      <alignment horizontal="center" vertical="center"/>
    </xf>
    <xf numFmtId="0" fontId="6" fillId="0" borderId="1" xfId="0" applyFont="1" applyBorder="1" applyAlignment="1" applyProtection="1">
      <alignment vertical="center"/>
    </xf>
    <xf numFmtId="0" fontId="10" fillId="5" borderId="0" xfId="0" applyFont="1" applyFill="1" applyAlignment="1" applyProtection="1">
      <alignment vertical="center"/>
    </xf>
    <xf numFmtId="172" fontId="0" fillId="5" borderId="0" xfId="0" applyNumberFormat="1" applyFont="1" applyFill="1" applyAlignment="1" applyProtection="1">
      <alignment vertical="center"/>
    </xf>
    <xf numFmtId="172" fontId="0" fillId="0" borderId="1" xfId="0" applyNumberFormat="1" applyFont="1" applyBorder="1" applyAlignment="1" applyProtection="1">
      <alignment horizontal="center" vertical="center"/>
    </xf>
    <xf numFmtId="3" fontId="8" fillId="0" borderId="1" xfId="0" applyNumberFormat="1" applyFont="1" applyBorder="1" applyAlignment="1" applyProtection="1">
      <alignment horizontal="left" vertical="center"/>
    </xf>
    <xf numFmtId="0" fontId="6" fillId="17" borderId="1" xfId="0" applyFont="1" applyFill="1" applyBorder="1" applyAlignment="1" applyProtection="1">
      <alignment vertical="center"/>
    </xf>
    <xf numFmtId="3" fontId="8" fillId="2" borderId="31" xfId="0" applyNumberFormat="1" applyFont="1" applyFill="1" applyBorder="1" applyAlignment="1" applyProtection="1">
      <alignment vertical="center"/>
    </xf>
    <xf numFmtId="0" fontId="0" fillId="5" borderId="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1" xfId="0" applyFont="1" applyFill="1" applyBorder="1" applyAlignment="1" applyProtection="1">
      <alignment horizontal="center" vertical="center"/>
    </xf>
    <xf numFmtId="172" fontId="6" fillId="5" borderId="1" xfId="0" applyNumberFormat="1" applyFont="1" applyFill="1" applyBorder="1" applyAlignment="1" applyProtection="1">
      <alignment horizontal="center" vertical="center"/>
    </xf>
    <xf numFmtId="3" fontId="6" fillId="5" borderId="1" xfId="0" applyNumberFormat="1" applyFont="1" applyFill="1" applyBorder="1" applyAlignment="1" applyProtection="1">
      <alignment horizontal="center" vertical="center"/>
    </xf>
    <xf numFmtId="172" fontId="8" fillId="5" borderId="0" xfId="0" applyNumberFormat="1" applyFont="1" applyFill="1" applyAlignment="1" applyProtection="1">
      <alignment horizontal="center" vertical="center"/>
    </xf>
    <xf numFmtId="3" fontId="8" fillId="5" borderId="0" xfId="0" applyNumberFormat="1" applyFont="1" applyFill="1" applyAlignment="1" applyProtection="1">
      <alignment horizontal="center" vertical="center"/>
    </xf>
    <xf numFmtId="0" fontId="5" fillId="9" borderId="1" xfId="0" applyFont="1" applyFill="1" applyBorder="1" applyAlignment="1" applyProtection="1">
      <alignment horizontal="left" vertical="center"/>
    </xf>
    <xf numFmtId="0" fontId="21" fillId="9" borderId="1" xfId="0" applyFont="1" applyFill="1" applyBorder="1" applyAlignment="1" applyProtection="1">
      <alignment horizontal="left" vertical="center"/>
    </xf>
    <xf numFmtId="0" fontId="2" fillId="9" borderId="1" xfId="0" applyFont="1" applyFill="1" applyBorder="1" applyAlignment="1" applyProtection="1">
      <alignment horizontal="left" vertical="center"/>
    </xf>
    <xf numFmtId="0" fontId="6" fillId="9" borderId="1" xfId="0" applyFont="1" applyFill="1" applyBorder="1" applyAlignment="1" applyProtection="1">
      <alignment horizontal="left" vertical="center"/>
    </xf>
    <xf numFmtId="0" fontId="6" fillId="5" borderId="1" xfId="0" applyFont="1" applyFill="1" applyBorder="1" applyAlignment="1" applyProtection="1">
      <alignment vertical="center"/>
    </xf>
    <xf numFmtId="0" fontId="2" fillId="10" borderId="1" xfId="0" applyFont="1" applyFill="1" applyBorder="1" applyAlignment="1" applyProtection="1">
      <alignment vertical="center" wrapText="1"/>
    </xf>
    <xf numFmtId="166" fontId="8" fillId="0" borderId="1" xfId="0" applyNumberFormat="1" applyFont="1" applyBorder="1" applyAlignment="1" applyProtection="1">
      <alignment horizontal="center" vertical="center"/>
    </xf>
    <xf numFmtId="0" fontId="5" fillId="13" borderId="8" xfId="0" applyFont="1" applyFill="1" applyBorder="1" applyAlignment="1" applyProtection="1">
      <alignment horizontal="left" vertical="center"/>
    </xf>
    <xf numFmtId="0" fontId="21" fillId="13" borderId="9" xfId="0" applyFont="1" applyFill="1" applyBorder="1" applyAlignment="1" applyProtection="1">
      <alignment horizontal="left" vertical="center"/>
    </xf>
    <xf numFmtId="0" fontId="6" fillId="13" borderId="9" xfId="0" applyFont="1" applyFill="1" applyBorder="1" applyAlignment="1" applyProtection="1">
      <alignment horizontal="left" vertical="center"/>
    </xf>
    <xf numFmtId="0" fontId="6" fillId="13" borderId="10" xfId="0" applyFont="1" applyFill="1" applyBorder="1" applyAlignment="1" applyProtection="1">
      <alignment horizontal="left" vertical="center"/>
    </xf>
    <xf numFmtId="172" fontId="8" fillId="6" borderId="33" xfId="0" applyNumberFormat="1" applyFont="1" applyFill="1" applyBorder="1" applyAlignment="1" applyProtection="1">
      <alignment horizontal="center" vertical="center"/>
      <protection locked="0"/>
    </xf>
    <xf numFmtId="0" fontId="8" fillId="6" borderId="32" xfId="0" applyFont="1" applyFill="1" applyBorder="1" applyAlignment="1" applyProtection="1">
      <alignment vertical="center"/>
      <protection locked="0"/>
    </xf>
    <xf numFmtId="0" fontId="8" fillId="6" borderId="32" xfId="0" applyFont="1" applyFill="1" applyBorder="1" applyAlignment="1" applyProtection="1">
      <alignment horizontal="center" vertical="center"/>
      <protection locked="0"/>
    </xf>
    <xf numFmtId="172" fontId="8" fillId="6" borderId="32" xfId="0" applyNumberFormat="1" applyFont="1" applyFill="1" applyBorder="1" applyAlignment="1" applyProtection="1">
      <alignment horizontal="center" vertical="center"/>
      <protection locked="0"/>
    </xf>
    <xf numFmtId="9" fontId="8" fillId="6" borderId="32"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vertical="center" wrapText="1"/>
    </xf>
    <xf numFmtId="0" fontId="8" fillId="5" borderId="0" xfId="0" applyFont="1" applyFill="1" applyAlignment="1" applyProtection="1">
      <alignment horizontal="center" vertical="center" wrapText="1"/>
    </xf>
    <xf numFmtId="0" fontId="8" fillId="0" borderId="1" xfId="0" applyFont="1" applyBorder="1" applyAlignment="1" applyProtection="1">
      <alignment horizontal="center" vertical="center"/>
    </xf>
    <xf numFmtId="165" fontId="8" fillId="6" borderId="1" xfId="0" applyNumberFormat="1" applyFont="1" applyFill="1" applyBorder="1" applyAlignment="1" applyProtection="1">
      <alignment horizontal="center" vertical="center"/>
      <protection locked="0"/>
    </xf>
    <xf numFmtId="165" fontId="8" fillId="5" borderId="0" xfId="0" applyNumberFormat="1" applyFont="1" applyFill="1" applyAlignment="1" applyProtection="1">
      <alignment horizontal="center" vertical="center"/>
    </xf>
    <xf numFmtId="165" fontId="6" fillId="0" borderId="1" xfId="0" applyNumberFormat="1" applyFont="1" applyBorder="1" applyAlignment="1" applyProtection="1">
      <alignment horizontal="center" vertical="center"/>
    </xf>
    <xf numFmtId="165" fontId="6" fillId="5" borderId="0" xfId="0" applyNumberFormat="1" applyFont="1" applyFill="1" applyAlignment="1" applyProtection="1">
      <alignment horizontal="center" vertical="center"/>
    </xf>
    <xf numFmtId="172" fontId="0" fillId="0" borderId="0" xfId="0" applyNumberFormat="1" applyFont="1" applyAlignment="1" applyProtection="1">
      <alignment vertical="center"/>
    </xf>
    <xf numFmtId="0" fontId="33" fillId="0" borderId="0" xfId="0" applyFont="1" applyAlignment="1" applyProtection="1">
      <alignment vertical="center"/>
    </xf>
    <xf numFmtId="0" fontId="7" fillId="5" borderId="0" xfId="0" applyFont="1" applyFill="1" applyAlignment="1" applyProtection="1">
      <alignment vertical="center" wrapText="1"/>
    </xf>
    <xf numFmtId="0" fontId="11" fillId="5" borderId="0" xfId="0" applyFont="1" applyFill="1" applyAlignment="1" applyProtection="1">
      <alignment horizontal="left" vertical="center" wrapText="1"/>
    </xf>
    <xf numFmtId="0" fontId="11" fillId="5" borderId="0" xfId="0" applyFont="1" applyFill="1" applyAlignment="1" applyProtection="1">
      <alignment vertical="center" wrapText="1"/>
    </xf>
    <xf numFmtId="0" fontId="10" fillId="0" borderId="45" xfId="0" applyFont="1" applyBorder="1" applyAlignment="1" applyProtection="1">
      <alignment vertical="top" wrapText="1"/>
    </xf>
    <xf numFmtId="0" fontId="0" fillId="0" borderId="45" xfId="0" applyFont="1" applyBorder="1" applyAlignment="1" applyProtection="1">
      <alignment vertical="top" wrapText="1"/>
    </xf>
    <xf numFmtId="0" fontId="0" fillId="0" borderId="55" xfId="0" applyFont="1" applyBorder="1" applyAlignment="1" applyProtection="1">
      <alignment vertical="top" wrapText="1"/>
    </xf>
    <xf numFmtId="0" fontId="11" fillId="2" borderId="1" xfId="0" applyFont="1" applyFill="1" applyBorder="1" applyAlignment="1" applyProtection="1">
      <alignment horizontal="lef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10" borderId="4" xfId="0" applyFont="1" applyFill="1" applyBorder="1" applyAlignment="1" applyProtection="1">
      <alignment vertical="center"/>
    </xf>
    <xf numFmtId="3" fontId="7" fillId="0" borderId="1" xfId="0" applyNumberFormat="1" applyFont="1" applyBorder="1" applyAlignment="1" applyProtection="1">
      <alignment horizontal="center" vertical="center"/>
    </xf>
    <xf numFmtId="164"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vertical="center"/>
      <protection locked="0"/>
    </xf>
    <xf numFmtId="0" fontId="7" fillId="0" borderId="24" xfId="0" applyFont="1" applyBorder="1" applyAlignment="1" applyProtection="1">
      <alignment vertical="center"/>
    </xf>
    <xf numFmtId="3" fontId="7" fillId="0" borderId="24" xfId="0" applyNumberFormat="1" applyFont="1" applyBorder="1" applyAlignment="1" applyProtection="1">
      <alignment horizontal="center" vertical="center"/>
    </xf>
    <xf numFmtId="1" fontId="7" fillId="0" borderId="24" xfId="0" applyNumberFormat="1" applyFont="1" applyBorder="1" applyAlignment="1" applyProtection="1">
      <alignment horizontal="center" vertical="center"/>
    </xf>
    <xf numFmtId="165" fontId="7" fillId="0" borderId="24" xfId="0" applyNumberFormat="1" applyFont="1" applyBorder="1" applyAlignment="1" applyProtection="1">
      <alignment horizontal="center" vertical="center"/>
    </xf>
    <xf numFmtId="0" fontId="7" fillId="0" borderId="33" xfId="0" applyFont="1" applyBorder="1" applyAlignment="1" applyProtection="1">
      <alignment horizontal="left" vertical="center"/>
    </xf>
    <xf numFmtId="3" fontId="7" fillId="0" borderId="33" xfId="0" applyNumberFormat="1" applyFont="1" applyBorder="1" applyAlignment="1" applyProtection="1">
      <alignment horizontal="center" vertical="center"/>
    </xf>
    <xf numFmtId="0" fontId="7" fillId="0" borderId="33" xfId="0" applyFont="1" applyBorder="1" applyAlignment="1" applyProtection="1">
      <alignment horizontal="center" vertical="center"/>
    </xf>
    <xf numFmtId="165" fontId="7" fillId="0" borderId="34" xfId="0" applyNumberFormat="1" applyFont="1" applyBorder="1" applyAlignment="1" applyProtection="1">
      <alignment horizontal="center" vertical="center"/>
    </xf>
    <xf numFmtId="165" fontId="7" fillId="0" borderId="11" xfId="0" applyNumberFormat="1" applyFont="1" applyBorder="1" applyAlignment="1" applyProtection="1">
      <alignment horizontal="center" vertical="center"/>
    </xf>
    <xf numFmtId="0" fontId="7" fillId="0" borderId="11" xfId="0" applyFont="1" applyBorder="1" applyAlignment="1" applyProtection="1">
      <alignment vertical="center"/>
    </xf>
    <xf numFmtId="0" fontId="34" fillId="0" borderId="0" xfId="0" applyFont="1" applyAlignment="1" applyProtection="1">
      <alignment vertical="center"/>
    </xf>
    <xf numFmtId="0" fontId="24" fillId="5" borderId="0" xfId="0" applyFont="1" applyFill="1" applyAlignment="1" applyProtection="1">
      <alignment horizontal="center" vertical="center" wrapText="1"/>
    </xf>
    <xf numFmtId="172" fontId="24" fillId="5" borderId="0" xfId="0" applyNumberFormat="1" applyFont="1" applyFill="1" applyAlignment="1" applyProtection="1">
      <alignment horizontal="center" vertical="center" wrapText="1"/>
    </xf>
    <xf numFmtId="0" fontId="35" fillId="5" borderId="3" xfId="0" applyFont="1" applyFill="1" applyBorder="1" applyAlignment="1" applyProtection="1">
      <alignment vertical="center" wrapText="1"/>
    </xf>
    <xf numFmtId="0" fontId="24" fillId="9" borderId="1" xfId="0" applyFont="1" applyFill="1" applyBorder="1" applyAlignment="1" applyProtection="1">
      <alignment vertical="center"/>
    </xf>
    <xf numFmtId="0" fontId="24" fillId="9" borderId="1" xfId="0" applyFont="1" applyFill="1" applyBorder="1" applyAlignment="1" applyProtection="1">
      <alignment horizontal="center" vertical="center" wrapText="1"/>
    </xf>
    <xf numFmtId="172" fontId="24" fillId="9" borderId="1" xfId="0" applyNumberFormat="1" applyFont="1" applyFill="1" applyBorder="1" applyAlignment="1" applyProtection="1">
      <alignment horizontal="center" vertical="center" wrapText="1"/>
    </xf>
    <xf numFmtId="1" fontId="8" fillId="5" borderId="1"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protection locked="0"/>
    </xf>
    <xf numFmtId="165" fontId="7" fillId="6" borderId="1" xfId="0" applyNumberFormat="1" applyFont="1" applyFill="1" applyBorder="1" applyAlignment="1" applyProtection="1">
      <alignment horizontal="center" vertical="center"/>
      <protection locked="0"/>
    </xf>
    <xf numFmtId="0" fontId="35" fillId="9" borderId="33" xfId="0" applyFont="1" applyFill="1" applyBorder="1" applyAlignment="1" applyProtection="1">
      <alignment horizontal="center" vertical="center" wrapText="1"/>
    </xf>
    <xf numFmtId="0" fontId="24" fillId="9" borderId="33" xfId="0" applyFont="1" applyFill="1" applyBorder="1" applyAlignment="1" applyProtection="1">
      <alignment horizontal="center" vertical="center" wrapText="1"/>
    </xf>
    <xf numFmtId="172" fontId="6" fillId="5" borderId="1" xfId="0" applyNumberFormat="1" applyFont="1" applyFill="1" applyBorder="1" applyAlignment="1" applyProtection="1">
      <alignment horizontal="center" vertical="center" wrapText="1"/>
    </xf>
    <xf numFmtId="1" fontId="8" fillId="0" borderId="1" xfId="0" applyNumberFormat="1" applyFont="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9" borderId="8" xfId="0" applyFont="1" applyFill="1" applyBorder="1" applyAlignment="1" applyProtection="1">
      <alignment vertical="center"/>
    </xf>
    <xf numFmtId="0" fontId="7" fillId="9" borderId="9" xfId="0" applyFont="1" applyFill="1" applyBorder="1" applyAlignment="1" applyProtection="1">
      <alignment vertical="center"/>
    </xf>
    <xf numFmtId="0" fontId="7" fillId="9" borderId="9" xfId="0" applyFont="1" applyFill="1" applyBorder="1" applyAlignment="1" applyProtection="1">
      <alignment vertical="center" wrapText="1"/>
    </xf>
    <xf numFmtId="0" fontId="7" fillId="9" borderId="9" xfId="0" applyFont="1" applyFill="1" applyBorder="1" applyAlignment="1" applyProtection="1">
      <alignment horizontal="center" vertical="center"/>
    </xf>
    <xf numFmtId="0" fontId="7" fillId="9" borderId="10" xfId="0" applyFont="1" applyFill="1" applyBorder="1" applyAlignment="1" applyProtection="1">
      <alignment vertical="center"/>
    </xf>
    <xf numFmtId="0" fontId="35" fillId="9" borderId="16" xfId="0" applyFont="1" applyFill="1" applyBorder="1" applyAlignment="1" applyProtection="1">
      <alignment vertical="center" wrapText="1"/>
    </xf>
    <xf numFmtId="0" fontId="35" fillId="9" borderId="17" xfId="0" applyFont="1" applyFill="1" applyBorder="1" applyAlignment="1" applyProtection="1">
      <alignment vertical="center" wrapText="1"/>
    </xf>
    <xf numFmtId="0" fontId="35" fillId="9" borderId="35" xfId="0" applyFont="1" applyFill="1" applyBorder="1" applyAlignment="1" applyProtection="1">
      <alignment vertical="center" wrapText="1"/>
    </xf>
    <xf numFmtId="0" fontId="35" fillId="9" borderId="17" xfId="0" applyFont="1" applyFill="1" applyBorder="1" applyAlignment="1" applyProtection="1">
      <alignment horizontal="center" vertical="center" wrapText="1"/>
    </xf>
    <xf numFmtId="0" fontId="35" fillId="13" borderId="17" xfId="0" applyFont="1" applyFill="1" applyBorder="1" applyAlignment="1" applyProtection="1">
      <alignment horizontal="center" vertical="center" wrapText="1"/>
    </xf>
    <xf numFmtId="0" fontId="35" fillId="13" borderId="17" xfId="0" applyFont="1" applyFill="1" applyBorder="1" applyAlignment="1" applyProtection="1">
      <alignment vertical="center" wrapText="1"/>
    </xf>
    <xf numFmtId="0" fontId="35" fillId="20" borderId="17" xfId="0" applyFont="1" applyFill="1" applyBorder="1" applyAlignment="1" applyProtection="1">
      <alignment horizontal="center" vertical="center" wrapText="1"/>
    </xf>
    <xf numFmtId="0" fontId="35" fillId="20" borderId="18" xfId="0" applyFont="1" applyFill="1" applyBorder="1" applyAlignment="1" applyProtection="1">
      <alignment horizontal="center" vertical="center" wrapText="1"/>
    </xf>
    <xf numFmtId="0" fontId="36" fillId="0" borderId="0" xfId="0" applyFont="1" applyAlignment="1" applyProtection="1">
      <alignment vertical="center"/>
    </xf>
    <xf numFmtId="0" fontId="8" fillId="5" borderId="21" xfId="0" applyFont="1" applyFill="1" applyBorder="1" applyAlignment="1" applyProtection="1">
      <alignment vertical="center"/>
    </xf>
    <xf numFmtId="9" fontId="7" fillId="0" borderId="1" xfId="0" applyNumberFormat="1" applyFont="1" applyBorder="1" applyAlignment="1" applyProtection="1">
      <alignment horizontal="center" vertical="center"/>
    </xf>
    <xf numFmtId="172"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xf>
    <xf numFmtId="164" fontId="7" fillId="5" borderId="22" xfId="0" applyNumberFormat="1" applyFont="1" applyFill="1" applyBorder="1" applyAlignment="1" applyProtection="1">
      <alignment horizontal="center" vertical="center"/>
    </xf>
    <xf numFmtId="3" fontId="17" fillId="0" borderId="1" xfId="0" applyNumberFormat="1" applyFont="1" applyBorder="1" applyAlignment="1" applyProtection="1">
      <alignment horizontal="center" vertical="center"/>
    </xf>
    <xf numFmtId="164" fontId="7" fillId="6" borderId="32" xfId="0" applyNumberFormat="1" applyFont="1" applyFill="1" applyBorder="1" applyAlignment="1" applyProtection="1">
      <alignment horizontal="center" vertical="center"/>
      <protection locked="0"/>
    </xf>
    <xf numFmtId="3" fontId="17" fillId="0" borderId="32" xfId="0" applyNumberFormat="1" applyFont="1" applyBorder="1" applyAlignment="1" applyProtection="1">
      <alignment horizontal="center" vertical="center"/>
    </xf>
    <xf numFmtId="172" fontId="7" fillId="6" borderId="32" xfId="0" applyNumberFormat="1" applyFont="1" applyFill="1" applyBorder="1" applyAlignment="1" applyProtection="1">
      <alignment horizontal="center" vertical="center"/>
      <protection locked="0"/>
    </xf>
    <xf numFmtId="0" fontId="7" fillId="6" borderId="3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center" vertical="center" wrapText="1"/>
      <protection locked="0"/>
    </xf>
    <xf numFmtId="0" fontId="7" fillId="10" borderId="24" xfId="0" applyFont="1" applyFill="1" applyBorder="1" applyAlignment="1" applyProtection="1">
      <alignment vertical="center"/>
    </xf>
    <xf numFmtId="0" fontId="11" fillId="10" borderId="24" xfId="0" applyFont="1" applyFill="1" applyBorder="1" applyAlignment="1" applyProtection="1">
      <alignment horizontal="left" vertical="center"/>
    </xf>
    <xf numFmtId="3" fontId="11" fillId="10" borderId="24" xfId="0" applyNumberFormat="1" applyFont="1" applyFill="1" applyBorder="1" applyAlignment="1" applyProtection="1">
      <alignment horizontal="center" vertical="center"/>
    </xf>
    <xf numFmtId="164" fontId="11" fillId="10" borderId="24" xfId="0" applyNumberFormat="1" applyFont="1" applyFill="1" applyBorder="1" applyAlignment="1" applyProtection="1">
      <alignment horizontal="center" vertical="center"/>
    </xf>
    <xf numFmtId="0" fontId="11" fillId="10" borderId="24" xfId="0" applyFont="1" applyFill="1" applyBorder="1" applyAlignment="1" applyProtection="1">
      <alignment horizontal="center" vertical="center"/>
    </xf>
    <xf numFmtId="0" fontId="11" fillId="10" borderId="24" xfId="0" applyFont="1" applyFill="1" applyBorder="1" applyAlignment="1" applyProtection="1">
      <alignment horizontal="center" vertical="center" wrapText="1"/>
    </xf>
    <xf numFmtId="3" fontId="11" fillId="10" borderId="24" xfId="0" applyNumberFormat="1" applyFont="1" applyFill="1" applyBorder="1" applyAlignment="1" applyProtection="1">
      <alignment horizontal="center" vertical="center" wrapText="1"/>
    </xf>
    <xf numFmtId="1" fontId="11" fillId="10" borderId="24" xfId="0" applyNumberFormat="1" applyFont="1" applyFill="1" applyBorder="1" applyAlignment="1" applyProtection="1">
      <alignment horizontal="center" vertical="center"/>
    </xf>
    <xf numFmtId="164" fontId="11" fillId="10" borderId="25" xfId="0" applyNumberFormat="1" applyFont="1" applyFill="1" applyBorder="1" applyAlignment="1" applyProtection="1">
      <alignment horizontal="center" vertical="center"/>
    </xf>
    <xf numFmtId="0" fontId="11" fillId="9" borderId="0" xfId="0" applyFont="1" applyFill="1" applyAlignment="1" applyProtection="1">
      <alignment vertical="center"/>
    </xf>
    <xf numFmtId="0" fontId="7" fillId="9" borderId="0" xfId="0" applyFont="1" applyFill="1" applyAlignment="1" applyProtection="1">
      <alignment vertical="center"/>
    </xf>
    <xf numFmtId="0" fontId="7" fillId="9" borderId="0" xfId="0" applyFont="1" applyFill="1" applyAlignment="1" applyProtection="1">
      <alignment vertical="center" wrapText="1"/>
    </xf>
    <xf numFmtId="0" fontId="7" fillId="9" borderId="0" xfId="0" applyFont="1" applyFill="1" applyAlignment="1" applyProtection="1">
      <alignment horizontal="center" vertical="center"/>
    </xf>
    <xf numFmtId="0" fontId="36" fillId="5" borderId="0" xfId="0" applyFont="1" applyFill="1" applyAlignment="1" applyProtection="1">
      <alignment vertical="center"/>
    </xf>
    <xf numFmtId="0" fontId="11" fillId="10" borderId="43" xfId="0" applyFont="1" applyFill="1" applyBorder="1" applyAlignment="1" applyProtection="1">
      <alignment vertical="center"/>
    </xf>
    <xf numFmtId="0" fontId="7" fillId="10" borderId="37" xfId="0" applyFont="1" applyFill="1" applyBorder="1" applyAlignment="1" applyProtection="1">
      <alignment vertical="center"/>
    </xf>
    <xf numFmtId="0" fontId="7" fillId="0" borderId="0" xfId="0" applyFont="1" applyAlignment="1" applyProtection="1">
      <alignment horizontal="center" vertical="center" wrapText="1"/>
    </xf>
    <xf numFmtId="0" fontId="7" fillId="21" borderId="0" xfId="0" applyFont="1" applyFill="1" applyAlignment="1" applyProtection="1">
      <alignment vertical="center"/>
    </xf>
    <xf numFmtId="0" fontId="7" fillId="21" borderId="0" xfId="0" applyFont="1" applyFill="1" applyAlignment="1" applyProtection="1">
      <alignment vertical="center" wrapText="1"/>
    </xf>
    <xf numFmtId="0" fontId="7" fillId="21" borderId="0" xfId="0" applyFont="1" applyFill="1" applyAlignment="1" applyProtection="1">
      <alignment horizontal="center" vertical="center"/>
    </xf>
    <xf numFmtId="0" fontId="7" fillId="21" borderId="0" xfId="0" applyFont="1" applyFill="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0" fontId="7" fillId="9" borderId="0" xfId="0" applyFont="1" applyFill="1" applyAlignment="1" applyProtection="1">
      <alignment horizontal="center" vertical="center" wrapText="1"/>
    </xf>
    <xf numFmtId="0" fontId="7" fillId="28" borderId="0" xfId="0" applyFont="1" applyFill="1" applyAlignment="1" applyProtection="1">
      <alignment vertical="center"/>
    </xf>
    <xf numFmtId="0" fontId="2" fillId="9" borderId="1" xfId="0" applyFont="1" applyFill="1" applyBorder="1" applyAlignment="1" applyProtection="1">
      <alignment vertical="center" wrapText="1"/>
    </xf>
    <xf numFmtId="0" fontId="2" fillId="9" borderId="32" xfId="0" applyFont="1" applyFill="1" applyBorder="1" applyAlignment="1" applyProtection="1">
      <alignment vertical="center" wrapText="1"/>
    </xf>
    <xf numFmtId="0" fontId="7" fillId="6" borderId="65" xfId="0" applyFont="1" applyFill="1" applyBorder="1" applyAlignment="1" applyProtection="1">
      <alignment horizontal="center" vertical="center" wrapText="1"/>
      <protection locked="0"/>
    </xf>
    <xf numFmtId="164" fontId="10" fillId="0" borderId="69" xfId="1" applyNumberFormat="1" applyFont="1" applyBorder="1" applyAlignment="1" applyProtection="1">
      <alignment horizontal="center" vertical="center"/>
    </xf>
    <xf numFmtId="164" fontId="2" fillId="0" borderId="44" xfId="0" applyNumberFormat="1" applyFont="1" applyBorder="1" applyAlignment="1" applyProtection="1">
      <alignment horizontal="center" vertical="center"/>
    </xf>
    <xf numFmtId="173" fontId="2" fillId="0" borderId="1" xfId="0" applyNumberFormat="1" applyFont="1" applyBorder="1" applyAlignment="1" applyProtection="1">
      <alignment horizontal="center" vertical="center"/>
    </xf>
    <xf numFmtId="0" fontId="11" fillId="9"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xf>
    <xf numFmtId="0" fontId="11" fillId="9" borderId="33" xfId="0" applyFont="1" applyFill="1" applyBorder="1" applyAlignment="1" applyProtection="1">
      <alignment horizontal="center" vertical="center"/>
    </xf>
    <xf numFmtId="0" fontId="5" fillId="10" borderId="1" xfId="0" applyFont="1" applyFill="1" applyBorder="1" applyAlignment="1" applyProtection="1">
      <alignment horizontal="left" vertical="center"/>
    </xf>
    <xf numFmtId="172" fontId="5" fillId="10" borderId="1" xfId="0" applyNumberFormat="1" applyFont="1" applyFill="1" applyBorder="1" applyAlignment="1" applyProtection="1">
      <alignment horizontal="center" vertical="center"/>
    </xf>
    <xf numFmtId="173" fontId="5" fillId="10" borderId="1" xfId="0" applyNumberFormat="1" applyFont="1" applyFill="1" applyBorder="1" applyAlignment="1" applyProtection="1">
      <alignment horizontal="center" vertical="center"/>
    </xf>
    <xf numFmtId="164" fontId="11" fillId="9" borderId="1" xfId="0" applyNumberFormat="1" applyFont="1" applyFill="1" applyBorder="1" applyAlignment="1" applyProtection="1">
      <alignment horizontal="center" vertical="center"/>
    </xf>
    <xf numFmtId="3" fontId="11" fillId="9" borderId="1"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23" fillId="0" borderId="0" xfId="0" applyFont="1" applyAlignment="1" applyProtection="1">
      <alignment vertical="center"/>
    </xf>
    <xf numFmtId="165" fontId="8" fillId="0" borderId="0" xfId="0" applyNumberFormat="1" applyFont="1" applyAlignment="1" applyProtection="1">
      <alignment vertical="center"/>
    </xf>
    <xf numFmtId="0" fontId="23" fillId="5" borderId="0" xfId="0" applyFont="1" applyFill="1" applyAlignment="1" applyProtection="1">
      <alignment vertical="center" wrapText="1"/>
    </xf>
    <xf numFmtId="165" fontId="6" fillId="5" borderId="0" xfId="0" applyNumberFormat="1" applyFont="1" applyFill="1" applyAlignment="1" applyProtection="1">
      <alignment vertical="center"/>
    </xf>
    <xf numFmtId="0" fontId="6" fillId="5" borderId="0" xfId="0" applyFont="1" applyFill="1" applyAlignment="1" applyProtection="1">
      <alignment vertical="center"/>
    </xf>
    <xf numFmtId="0" fontId="24" fillId="5" borderId="0" xfId="0" applyFont="1" applyFill="1" applyAlignment="1" applyProtection="1">
      <alignment vertical="center" wrapText="1"/>
    </xf>
    <xf numFmtId="0" fontId="25" fillId="10" borderId="1" xfId="0" applyFont="1" applyFill="1" applyBorder="1" applyAlignment="1" applyProtection="1">
      <alignment vertical="center"/>
      <protection locked="0"/>
    </xf>
    <xf numFmtId="0" fontId="24" fillId="10" borderId="1" xfId="0" applyFont="1" applyFill="1" applyBorder="1" applyAlignment="1" applyProtection="1">
      <alignment vertical="center" wrapText="1"/>
      <protection locked="0"/>
    </xf>
    <xf numFmtId="165" fontId="6" fillId="10" borderId="1" xfId="0" applyNumberFormat="1" applyFont="1" applyFill="1" applyBorder="1" applyAlignment="1" applyProtection="1">
      <alignment horizontal="center" vertical="center"/>
      <protection locked="0"/>
    </xf>
    <xf numFmtId="164" fontId="6" fillId="10" borderId="1"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xf>
    <xf numFmtId="164" fontId="8" fillId="38" borderId="1"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23" fillId="0" borderId="0" xfId="0" applyFont="1" applyAlignment="1" applyProtection="1">
      <alignment vertical="center" wrapText="1"/>
      <protection locked="0"/>
    </xf>
    <xf numFmtId="165" fontId="8"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164" fontId="6" fillId="10" borderId="1" xfId="0" applyNumberFormat="1" applyFont="1" applyFill="1" applyBorder="1" applyAlignment="1" applyProtection="1">
      <alignment horizontal="center" vertical="center"/>
      <protection locked="0"/>
    </xf>
    <xf numFmtId="0" fontId="6"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165" fontId="6" fillId="5" borderId="26" xfId="0" applyNumberFormat="1"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xf>
    <xf numFmtId="0" fontId="6" fillId="5" borderId="27"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164" fontId="5" fillId="10" borderId="1" xfId="0" applyNumberFormat="1" applyFont="1" applyFill="1" applyBorder="1" applyAlignment="1" applyProtection="1">
      <alignment horizontal="center" vertical="center"/>
      <protection locked="0"/>
    </xf>
    <xf numFmtId="0" fontId="6" fillId="9" borderId="1" xfId="0" applyFont="1" applyFill="1" applyBorder="1" applyAlignment="1" applyProtection="1">
      <alignment vertical="center"/>
      <protection locked="0"/>
    </xf>
    <xf numFmtId="0" fontId="23" fillId="9" borderId="1" xfId="0" applyFont="1" applyFill="1" applyBorder="1" applyAlignment="1" applyProtection="1">
      <alignment vertical="center" wrapText="1"/>
      <protection locked="0"/>
    </xf>
    <xf numFmtId="165" fontId="8" fillId="9" borderId="1" xfId="0" applyNumberFormat="1" applyFont="1" applyFill="1" applyBorder="1" applyAlignment="1" applyProtection="1">
      <alignment horizontal="center" vertical="center"/>
      <protection locked="0"/>
    </xf>
    <xf numFmtId="164" fontId="8" fillId="9" borderId="1" xfId="0" applyNumberFormat="1" applyFont="1" applyFill="1" applyBorder="1" applyAlignment="1" applyProtection="1">
      <alignment horizontal="center" vertical="center"/>
    </xf>
    <xf numFmtId="164" fontId="8" fillId="9"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1" fillId="9" borderId="1" xfId="0" applyFont="1" applyFill="1" applyBorder="1" applyAlignment="1" applyProtection="1">
      <alignment vertical="center"/>
      <protection locked="0"/>
    </xf>
    <xf numFmtId="0" fontId="23" fillId="0" borderId="0" xfId="0" applyFont="1" applyAlignment="1" applyProtection="1">
      <alignment vertical="center" wrapText="1"/>
    </xf>
    <xf numFmtId="165" fontId="7" fillId="0" borderId="0" xfId="0" applyNumberFormat="1" applyFont="1" applyAlignment="1" applyProtection="1">
      <alignment vertical="center"/>
    </xf>
    <xf numFmtId="0" fontId="31" fillId="0" borderId="0" xfId="0" applyFont="1" applyAlignment="1" applyProtection="1">
      <alignment vertical="center" wrapText="1"/>
    </xf>
    <xf numFmtId="0" fontId="6" fillId="5" borderId="0" xfId="0" applyFont="1" applyFill="1" applyAlignment="1" applyProtection="1">
      <alignment horizontal="center" vertical="center"/>
    </xf>
    <xf numFmtId="0" fontId="26" fillId="0" borderId="0" xfId="0" applyFont="1" applyAlignment="1" applyProtection="1">
      <alignment vertical="center"/>
    </xf>
    <xf numFmtId="0" fontId="6" fillId="9" borderId="1" xfId="0" applyFont="1" applyFill="1" applyBorder="1" applyAlignment="1" applyProtection="1">
      <alignment vertical="center"/>
    </xf>
    <xf numFmtId="0" fontId="8" fillId="0" borderId="1" xfId="0" applyFont="1" applyBorder="1" applyAlignment="1" applyProtection="1">
      <alignment horizontal="left" vertical="center"/>
    </xf>
    <xf numFmtId="0" fontId="10" fillId="0" borderId="55" xfId="0" applyFont="1" applyBorder="1" applyAlignment="1" applyProtection="1">
      <alignment vertical="top" wrapText="1"/>
    </xf>
    <xf numFmtId="0" fontId="6" fillId="9" borderId="1" xfId="0" applyFont="1" applyFill="1" applyBorder="1" applyAlignment="1" applyProtection="1">
      <alignment horizontal="center" vertical="center"/>
    </xf>
    <xf numFmtId="0" fontId="6" fillId="0" borderId="1" xfId="0" applyFont="1" applyBorder="1" applyAlignment="1" applyProtection="1">
      <alignment vertical="center" wrapText="1"/>
    </xf>
    <xf numFmtId="170" fontId="7" fillId="6" borderId="1" xfId="0" applyNumberFormat="1" applyFont="1" applyFill="1" applyBorder="1" applyAlignment="1" applyProtection="1">
      <alignment horizontal="center" vertical="center"/>
      <protection locked="0"/>
    </xf>
    <xf numFmtId="174" fontId="8" fillId="0" borderId="1" xfId="0" applyNumberFormat="1" applyFont="1" applyBorder="1" applyAlignment="1" applyProtection="1">
      <alignment vertical="center"/>
    </xf>
    <xf numFmtId="42" fontId="6" fillId="9" borderId="1" xfId="0" applyNumberFormat="1" applyFont="1" applyFill="1" applyBorder="1" applyAlignment="1" applyProtection="1">
      <alignment horizontal="left" vertical="center"/>
    </xf>
    <xf numFmtId="3" fontId="6" fillId="9" borderId="1" xfId="0" applyNumberFormat="1" applyFont="1" applyFill="1" applyBorder="1" applyAlignment="1" applyProtection="1">
      <alignment horizontal="center" vertical="center" wrapText="1"/>
    </xf>
    <xf numFmtId="3" fontId="6" fillId="9" borderId="1" xfId="0" applyNumberFormat="1" applyFont="1" applyFill="1" applyBorder="1" applyAlignment="1" applyProtection="1">
      <alignment horizontal="center" vertical="center"/>
    </xf>
    <xf numFmtId="3" fontId="6" fillId="5" borderId="0" xfId="0" applyNumberFormat="1" applyFont="1" applyFill="1" applyAlignment="1" applyProtection="1">
      <alignment horizontal="center" vertical="center"/>
    </xf>
    <xf numFmtId="0" fontId="30" fillId="0" borderId="1" xfId="0" applyFont="1" applyBorder="1" applyAlignment="1" applyProtection="1">
      <alignment vertical="center"/>
    </xf>
    <xf numFmtId="165" fontId="8" fillId="0" borderId="1" xfId="0" applyNumberFormat="1" applyFont="1" applyBorder="1" applyAlignment="1" applyProtection="1">
      <alignment horizontal="center" vertical="center" wrapText="1"/>
    </xf>
    <xf numFmtId="165" fontId="8" fillId="5" borderId="0" xfId="0" applyNumberFormat="1" applyFont="1" applyFill="1" applyAlignment="1" applyProtection="1">
      <alignment horizontal="center" vertical="center" wrapText="1"/>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0" fontId="32" fillId="5" borderId="0" xfId="0" applyFont="1" applyFill="1" applyAlignment="1" applyProtection="1">
      <alignment horizontal="center" vertical="center"/>
    </xf>
    <xf numFmtId="0" fontId="25" fillId="0" borderId="0" xfId="0" applyFont="1" applyAlignment="1" applyProtection="1">
      <alignment vertical="center"/>
    </xf>
    <xf numFmtId="0" fontId="8" fillId="0" borderId="0" xfId="0" applyFont="1" applyAlignment="1" applyProtection="1">
      <alignment vertical="center" wrapText="1"/>
    </xf>
    <xf numFmtId="0" fontId="8" fillId="5" borderId="29" xfId="0" applyFont="1" applyFill="1" applyBorder="1" applyAlignment="1" applyProtection="1">
      <alignment vertical="center" wrapText="1"/>
    </xf>
    <xf numFmtId="0" fontId="8" fillId="0" borderId="0" xfId="0" applyFont="1" applyAlignment="1" applyProtection="1">
      <alignment horizontal="center" vertical="center" wrapText="1"/>
    </xf>
    <xf numFmtId="0" fontId="17" fillId="5" borderId="1" xfId="0" applyFont="1" applyFill="1" applyBorder="1" applyAlignment="1" applyProtection="1">
      <alignment vertical="center"/>
    </xf>
    <xf numFmtId="0" fontId="17" fillId="5" borderId="1" xfId="0" applyFont="1" applyFill="1" applyBorder="1" applyAlignment="1" applyProtection="1">
      <alignment horizontal="center" vertical="center"/>
    </xf>
    <xf numFmtId="166" fontId="17" fillId="5" borderId="1" xfId="0" applyNumberFormat="1" applyFont="1" applyFill="1" applyBorder="1" applyAlignment="1" applyProtection="1">
      <alignment horizontal="center" vertical="center"/>
    </xf>
    <xf numFmtId="164" fontId="8" fillId="5" borderId="1" xfId="0" applyNumberFormat="1" applyFont="1" applyFill="1" applyBorder="1" applyAlignment="1" applyProtection="1">
      <alignment vertical="center"/>
    </xf>
    <xf numFmtId="166" fontId="0" fillId="5" borderId="1" xfId="0" applyNumberFormat="1" applyFont="1" applyFill="1" applyBorder="1" applyAlignment="1" applyProtection="1">
      <alignment vertical="center"/>
    </xf>
    <xf numFmtId="1" fontId="17" fillId="7"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xf>
    <xf numFmtId="173" fontId="8" fillId="0" borderId="1" xfId="0" applyNumberFormat="1" applyFont="1" applyBorder="1" applyAlignment="1" applyProtection="1">
      <alignment horizontal="center" vertical="center"/>
    </xf>
    <xf numFmtId="166" fontId="17" fillId="6" borderId="1" xfId="0" applyNumberFormat="1" applyFont="1" applyFill="1" applyBorder="1" applyAlignment="1" applyProtection="1">
      <alignment horizontal="center" vertical="center"/>
      <protection locked="0"/>
    </xf>
    <xf numFmtId="1" fontId="17" fillId="6"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vertical="center"/>
    </xf>
    <xf numFmtId="0" fontId="21" fillId="7" borderId="1" xfId="0" applyFont="1" applyFill="1" applyBorder="1" applyAlignment="1" applyProtection="1">
      <alignment vertical="center"/>
    </xf>
    <xf numFmtId="0" fontId="16" fillId="7" borderId="1" xfId="0" applyFont="1" applyFill="1" applyBorder="1" applyAlignment="1" applyProtection="1">
      <alignment vertical="center"/>
    </xf>
    <xf numFmtId="1" fontId="21" fillId="7" borderId="1" xfId="0" applyNumberFormat="1" applyFont="1" applyFill="1" applyBorder="1" applyAlignment="1" applyProtection="1">
      <alignment horizontal="center" vertical="center"/>
    </xf>
    <xf numFmtId="166" fontId="21" fillId="7" borderId="1" xfId="0" applyNumberFormat="1" applyFont="1" applyFill="1" applyBorder="1" applyAlignment="1" applyProtection="1">
      <alignment horizontal="center" vertical="center"/>
    </xf>
    <xf numFmtId="173" fontId="6" fillId="7" borderId="1" xfId="0" applyNumberFormat="1" applyFont="1" applyFill="1" applyBorder="1" applyAlignment="1" applyProtection="1">
      <alignment horizontal="center" vertical="center"/>
    </xf>
    <xf numFmtId="172" fontId="6" fillId="7"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xf>
    <xf numFmtId="1" fontId="21" fillId="5"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0" fillId="0" borderId="0" xfId="0" applyFont="1" applyAlignment="1" applyProtection="1">
      <alignment vertical="center" wrapText="1"/>
    </xf>
    <xf numFmtId="172" fontId="21" fillId="7" borderId="1"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1" fontId="0" fillId="0" borderId="0" xfId="0" applyNumberFormat="1" applyFont="1" applyAlignment="1" applyProtection="1">
      <alignment vertical="center"/>
    </xf>
    <xf numFmtId="0" fontId="0" fillId="6" borderId="1" xfId="0" applyFont="1" applyFill="1" applyBorder="1" applyAlignment="1" applyProtection="1">
      <alignment vertical="center"/>
      <protection locked="0"/>
    </xf>
    <xf numFmtId="3" fontId="8" fillId="6" borderId="1" xfId="0" applyNumberFormat="1"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xf>
    <xf numFmtId="1" fontId="8" fillId="6" borderId="1" xfId="0" applyNumberFormat="1" applyFont="1" applyFill="1" applyBorder="1" applyAlignment="1" applyProtection="1">
      <alignment horizontal="center" vertical="center"/>
      <protection locked="0"/>
    </xf>
    <xf numFmtId="0" fontId="16" fillId="5" borderId="0" xfId="0" applyFont="1" applyFill="1" applyAlignment="1" applyProtection="1">
      <alignment horizontal="center" vertical="center"/>
    </xf>
    <xf numFmtId="1" fontId="21" fillId="5" borderId="0" xfId="0" applyNumberFormat="1" applyFont="1" applyFill="1" applyAlignment="1" applyProtection="1">
      <alignment horizontal="center" vertical="center"/>
    </xf>
    <xf numFmtId="166" fontId="0" fillId="0" borderId="0" xfId="0" applyNumberFormat="1" applyFont="1" applyAlignment="1" applyProtection="1">
      <alignment vertical="center"/>
    </xf>
    <xf numFmtId="1" fontId="0" fillId="0" borderId="0" xfId="0" applyNumberFormat="1" applyFont="1" applyAlignment="1" applyProtection="1">
      <alignment horizontal="center" vertical="center"/>
    </xf>
    <xf numFmtId="2" fontId="8" fillId="0" borderId="1"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vertical="center" wrapText="1"/>
    </xf>
    <xf numFmtId="173" fontId="21" fillId="7" borderId="1" xfId="0" applyNumberFormat="1" applyFont="1" applyFill="1" applyBorder="1" applyAlignment="1" applyProtection="1">
      <alignment horizontal="center" vertical="center"/>
    </xf>
    <xf numFmtId="0" fontId="25" fillId="5" borderId="26" xfId="0" applyFont="1" applyFill="1" applyBorder="1" applyAlignment="1" applyProtection="1">
      <alignment vertical="center"/>
    </xf>
    <xf numFmtId="0" fontId="6" fillId="5" borderId="0" xfId="0" applyFont="1" applyFill="1" applyAlignment="1" applyProtection="1">
      <alignment vertical="center" wrapText="1"/>
    </xf>
    <xf numFmtId="0" fontId="6" fillId="5" borderId="1" xfId="0" applyFont="1" applyFill="1" applyBorder="1" applyAlignment="1" applyProtection="1">
      <alignment vertical="center" wrapText="1"/>
    </xf>
    <xf numFmtId="0" fontId="6" fillId="5" borderId="15" xfId="0" applyFont="1" applyFill="1" applyBorder="1" applyAlignment="1" applyProtection="1">
      <alignment vertical="center"/>
    </xf>
    <xf numFmtId="0" fontId="6" fillId="5" borderId="15" xfId="0" applyFont="1" applyFill="1" applyBorder="1" applyAlignment="1" applyProtection="1">
      <alignment vertical="center" wrapText="1"/>
    </xf>
    <xf numFmtId="0" fontId="5" fillId="0" borderId="0" xfId="0" applyFont="1" applyAlignment="1" applyProtection="1">
      <alignment vertical="center"/>
    </xf>
    <xf numFmtId="0" fontId="16" fillId="8" borderId="1" xfId="0" applyFont="1" applyFill="1" applyBorder="1" applyAlignment="1" applyProtection="1">
      <alignment vertical="center" wrapText="1"/>
    </xf>
    <xf numFmtId="0" fontId="17" fillId="5" borderId="0" xfId="0" applyFont="1" applyFill="1" applyAlignment="1" applyProtection="1">
      <alignment vertical="center"/>
    </xf>
    <xf numFmtId="0" fontId="16" fillId="5" borderId="0" xfId="0" applyFont="1" applyFill="1" applyAlignment="1" applyProtection="1">
      <alignment vertical="center"/>
    </xf>
    <xf numFmtId="0" fontId="2" fillId="0" borderId="1" xfId="0" applyFont="1" applyBorder="1" applyAlignment="1" applyProtection="1">
      <alignment vertical="center"/>
    </xf>
    <xf numFmtId="164" fontId="17" fillId="5" borderId="0" xfId="0" applyNumberFormat="1" applyFont="1" applyFill="1" applyAlignment="1" applyProtection="1">
      <alignment horizontal="center" vertical="center"/>
    </xf>
    <xf numFmtId="166" fontId="16" fillId="5" borderId="0" xfId="0" applyNumberFormat="1" applyFont="1" applyFill="1" applyAlignment="1" applyProtection="1">
      <alignment horizontal="center" vertical="center"/>
    </xf>
    <xf numFmtId="0" fontId="16" fillId="5" borderId="0" xfId="0" applyFont="1" applyFill="1" applyAlignment="1" applyProtection="1">
      <alignment vertical="center" wrapText="1"/>
    </xf>
    <xf numFmtId="4" fontId="17" fillId="5" borderId="0" xfId="0" applyNumberFormat="1" applyFont="1" applyFill="1" applyAlignment="1" applyProtection="1">
      <alignment horizontal="center" vertical="center"/>
    </xf>
    <xf numFmtId="1" fontId="16" fillId="5" borderId="0" xfId="0" applyNumberFormat="1" applyFont="1" applyFill="1" applyAlignment="1" applyProtection="1">
      <alignment horizontal="center" vertical="center"/>
    </xf>
    <xf numFmtId="166" fontId="17" fillId="5" borderId="0" xfId="0" applyNumberFormat="1" applyFont="1" applyFill="1" applyAlignment="1" applyProtection="1">
      <alignment horizontal="left" vertical="center"/>
    </xf>
    <xf numFmtId="0" fontId="37" fillId="5" borderId="0" xfId="0" applyFont="1" applyFill="1" applyAlignment="1" applyProtection="1">
      <alignment vertical="center" wrapText="1"/>
    </xf>
    <xf numFmtId="0" fontId="37" fillId="5" borderId="0" xfId="0" applyFont="1" applyFill="1" applyAlignment="1" applyProtection="1">
      <alignment vertical="center"/>
    </xf>
    <xf numFmtId="3" fontId="17" fillId="5" borderId="0" xfId="0" applyNumberFormat="1" applyFont="1" applyFill="1" applyAlignment="1" applyProtection="1">
      <alignment vertical="center"/>
    </xf>
    <xf numFmtId="0" fontId="17" fillId="5" borderId="0" xfId="0" applyFont="1" applyFill="1" applyAlignment="1" applyProtection="1">
      <alignment horizontal="left" vertical="center"/>
    </xf>
    <xf numFmtId="3" fontId="17" fillId="0" borderId="0" xfId="0" applyNumberFormat="1" applyFont="1" applyAlignment="1" applyProtection="1">
      <alignment horizontal="center" vertical="center"/>
    </xf>
    <xf numFmtId="0" fontId="38" fillId="0" borderId="0" xfId="0" applyFont="1" applyAlignment="1" applyProtection="1">
      <alignment vertical="center"/>
    </xf>
    <xf numFmtId="44" fontId="8" fillId="0" borderId="0" xfId="0" applyNumberFormat="1" applyFont="1" applyAlignment="1" applyProtection="1">
      <alignment vertical="center"/>
    </xf>
    <xf numFmtId="42" fontId="39" fillId="0" borderId="0" xfId="0" applyNumberFormat="1" applyFont="1" applyAlignment="1" applyProtection="1">
      <alignment vertical="center"/>
    </xf>
    <xf numFmtId="0" fontId="6" fillId="5" borderId="7" xfId="0" applyFont="1" applyFill="1" applyBorder="1" applyAlignment="1" applyProtection="1">
      <alignment horizontal="left" vertical="center"/>
    </xf>
    <xf numFmtId="0" fontId="6" fillId="22" borderId="16" xfId="0" applyFont="1" applyFill="1" applyBorder="1" applyAlignment="1" applyProtection="1">
      <alignment vertical="center"/>
    </xf>
    <xf numFmtId="0" fontId="6" fillId="22" borderId="17" xfId="0" applyFont="1" applyFill="1" applyBorder="1" applyAlignment="1" applyProtection="1">
      <alignment vertical="center"/>
    </xf>
    <xf numFmtId="0" fontId="6" fillId="22" borderId="17" xfId="0" applyFont="1" applyFill="1" applyBorder="1" applyAlignment="1" applyProtection="1">
      <alignment horizontal="center" vertical="center"/>
    </xf>
    <xf numFmtId="0" fontId="6" fillId="22" borderId="18" xfId="0" applyFont="1" applyFill="1" applyBorder="1" applyAlignment="1" applyProtection="1">
      <alignment horizontal="center" vertical="center"/>
    </xf>
    <xf numFmtId="0" fontId="8" fillId="0" borderId="21" xfId="0" applyFont="1" applyBorder="1" applyAlignment="1" applyProtection="1">
      <alignment vertical="center"/>
    </xf>
    <xf numFmtId="9" fontId="8" fillId="6" borderId="44" xfId="0" applyNumberFormat="1" applyFont="1" applyFill="1" applyBorder="1" applyAlignment="1" applyProtection="1">
      <alignment horizontal="center" vertical="center"/>
      <protection locked="0"/>
    </xf>
    <xf numFmtId="174" fontId="8" fillId="0" borderId="22" xfId="0" applyNumberFormat="1" applyFont="1" applyBorder="1" applyAlignment="1" applyProtection="1">
      <alignment vertical="center"/>
    </xf>
    <xf numFmtId="0" fontId="6" fillId="10" borderId="23" xfId="0" applyFont="1" applyFill="1" applyBorder="1" applyAlignment="1" applyProtection="1">
      <alignment vertical="center"/>
    </xf>
    <xf numFmtId="9" fontId="6" fillId="10" borderId="24" xfId="0" applyNumberFormat="1" applyFont="1" applyFill="1" applyBorder="1" applyAlignment="1" applyProtection="1">
      <alignment vertical="center"/>
    </xf>
    <xf numFmtId="174" fontId="6" fillId="10" borderId="24" xfId="0" applyNumberFormat="1" applyFont="1" applyFill="1" applyBorder="1" applyAlignment="1" applyProtection="1">
      <alignment vertical="center"/>
    </xf>
    <xf numFmtId="174" fontId="6" fillId="10" borderId="25" xfId="0" applyNumberFormat="1" applyFont="1" applyFill="1" applyBorder="1" applyAlignment="1" applyProtection="1">
      <alignment vertical="center"/>
    </xf>
    <xf numFmtId="0" fontId="8" fillId="0" borderId="39" xfId="0" applyFont="1" applyBorder="1" applyAlignment="1" applyProtection="1">
      <alignment vertical="center"/>
    </xf>
    <xf numFmtId="0" fontId="7" fillId="0" borderId="40" xfId="0" applyFont="1" applyBorder="1" applyAlignment="1" applyProtection="1">
      <alignment vertical="center"/>
    </xf>
    <xf numFmtId="0" fontId="8" fillId="0" borderId="40" xfId="0" applyFont="1" applyBorder="1" applyAlignment="1" applyProtection="1">
      <alignment vertical="center"/>
    </xf>
    <xf numFmtId="0" fontId="8" fillId="5" borderId="46" xfId="0" applyFont="1" applyFill="1" applyBorder="1" applyAlignment="1" applyProtection="1">
      <alignment vertical="center"/>
    </xf>
    <xf numFmtId="0" fontId="8" fillId="5" borderId="46" xfId="0" applyFont="1" applyFill="1" applyBorder="1" applyAlignment="1" applyProtection="1">
      <alignment horizontal="left" vertical="center"/>
    </xf>
    <xf numFmtId="44" fontId="8" fillId="0" borderId="40" xfId="0" applyNumberFormat="1" applyFont="1" applyBorder="1" applyAlignment="1" applyProtection="1">
      <alignment vertical="center"/>
    </xf>
    <xf numFmtId="0" fontId="8" fillId="0" borderId="41" xfId="0" applyFont="1" applyBorder="1" applyAlignment="1" applyProtection="1">
      <alignment vertical="center"/>
    </xf>
    <xf numFmtId="0" fontId="6" fillId="17" borderId="47" xfId="0" applyFont="1" applyFill="1" applyBorder="1" applyAlignment="1" applyProtection="1">
      <alignment vertical="center"/>
    </xf>
    <xf numFmtId="3" fontId="8" fillId="0" borderId="0" xfId="0" applyNumberFormat="1" applyFont="1" applyAlignment="1" applyProtection="1">
      <alignment horizontal="center" vertical="center"/>
    </xf>
    <xf numFmtId="3" fontId="8" fillId="0" borderId="48" xfId="0" applyNumberFormat="1" applyFont="1" applyBorder="1" applyAlignment="1" applyProtection="1">
      <alignment horizontal="center" vertical="center"/>
    </xf>
    <xf numFmtId="0" fontId="8" fillId="23" borderId="49" xfId="0" applyFont="1" applyFill="1" applyBorder="1" applyAlignment="1" applyProtection="1">
      <alignment vertical="center" wrapText="1"/>
    </xf>
    <xf numFmtId="9" fontId="8" fillId="6" borderId="1" xfId="0" applyNumberFormat="1" applyFont="1" applyFill="1" applyBorder="1" applyAlignment="1" applyProtection="1">
      <alignment vertical="center"/>
      <protection locked="0"/>
    </xf>
    <xf numFmtId="9" fontId="8" fillId="6" borderId="22" xfId="0" applyNumberFormat="1" applyFont="1" applyFill="1" applyBorder="1" applyAlignment="1" applyProtection="1">
      <alignment vertical="center"/>
      <protection locked="0"/>
    </xf>
    <xf numFmtId="0" fontId="8" fillId="0" borderId="50" xfId="0" applyFont="1" applyBorder="1" applyAlignment="1" applyProtection="1">
      <alignment vertical="center"/>
    </xf>
    <xf numFmtId="6" fontId="8" fillId="0" borderId="1" xfId="0" applyNumberFormat="1" applyFont="1" applyBorder="1" applyAlignment="1" applyProtection="1">
      <alignment vertical="center"/>
    </xf>
    <xf numFmtId="6" fontId="8" fillId="0" borderId="22" xfId="0" applyNumberFormat="1" applyFont="1" applyBorder="1" applyAlignment="1" applyProtection="1">
      <alignment vertical="center"/>
    </xf>
    <xf numFmtId="0" fontId="6" fillId="0" borderId="23" xfId="0" applyFont="1" applyBorder="1" applyAlignment="1" applyProtection="1">
      <alignment vertical="center"/>
    </xf>
    <xf numFmtId="42" fontId="6" fillId="0" borderId="24" xfId="0" applyNumberFormat="1" applyFont="1" applyBorder="1" applyAlignment="1" applyProtection="1">
      <alignment vertical="center"/>
    </xf>
    <xf numFmtId="42" fontId="6" fillId="0" borderId="25" xfId="0" applyNumberFormat="1" applyFont="1" applyBorder="1" applyAlignment="1" applyProtection="1">
      <alignment vertical="center"/>
    </xf>
    <xf numFmtId="42" fontId="8" fillId="5" borderId="7" xfId="0" applyNumberFormat="1" applyFont="1" applyFill="1" applyBorder="1" applyAlignment="1" applyProtection="1">
      <alignment vertical="center"/>
    </xf>
    <xf numFmtId="0" fontId="6" fillId="17" borderId="56" xfId="0" applyFont="1" applyFill="1" applyBorder="1" applyAlignment="1" applyProtection="1">
      <alignment vertical="center"/>
    </xf>
    <xf numFmtId="3" fontId="8" fillId="0" borderId="40" xfId="0" applyNumberFormat="1" applyFont="1" applyBorder="1" applyAlignment="1" applyProtection="1">
      <alignment horizontal="center" vertical="center"/>
    </xf>
    <xf numFmtId="3" fontId="8" fillId="0" borderId="41" xfId="0" applyNumberFormat="1" applyFont="1" applyBorder="1" applyAlignment="1" applyProtection="1">
      <alignment horizontal="center" vertical="center"/>
    </xf>
    <xf numFmtId="6" fontId="6" fillId="5" borderId="6" xfId="0" applyNumberFormat="1" applyFont="1" applyFill="1" applyBorder="1" applyAlignment="1" applyProtection="1">
      <alignment vertical="center"/>
    </xf>
    <xf numFmtId="6" fontId="6" fillId="5" borderId="6" xfId="0" applyNumberFormat="1" applyFont="1" applyFill="1" applyBorder="1" applyAlignment="1" applyProtection="1">
      <alignment vertical="center" wrapText="1"/>
    </xf>
    <xf numFmtId="6" fontId="8" fillId="5" borderId="6" xfId="0" applyNumberFormat="1" applyFont="1" applyFill="1" applyBorder="1" applyAlignment="1" applyProtection="1">
      <alignment vertical="center"/>
    </xf>
    <xf numFmtId="0" fontId="6" fillId="5" borderId="26" xfId="0" applyFont="1" applyFill="1" applyBorder="1" applyAlignment="1" applyProtection="1">
      <alignment vertical="center"/>
    </xf>
    <xf numFmtId="6" fontId="8" fillId="5" borderId="26" xfId="0" applyNumberFormat="1" applyFont="1" applyFill="1" applyBorder="1" applyAlignment="1" applyProtection="1">
      <alignment vertical="center"/>
    </xf>
    <xf numFmtId="6" fontId="6" fillId="5" borderId="7" xfId="0" applyNumberFormat="1" applyFont="1" applyFill="1" applyBorder="1" applyAlignment="1" applyProtection="1">
      <alignment vertical="center"/>
    </xf>
    <xf numFmtId="0" fontId="6" fillId="13" borderId="56" xfId="0" applyFont="1" applyFill="1" applyBorder="1" applyAlignment="1" applyProtection="1">
      <alignment vertical="center"/>
    </xf>
    <xf numFmtId="0" fontId="0" fillId="0" borderId="40" xfId="0" applyFont="1" applyBorder="1" applyAlignment="1" applyProtection="1">
      <alignment vertical="center"/>
    </xf>
    <xf numFmtId="0" fontId="0" fillId="0" borderId="41" xfId="0" applyFont="1" applyBorder="1" applyAlignment="1" applyProtection="1">
      <alignment vertical="center"/>
    </xf>
    <xf numFmtId="0" fontId="6" fillId="0" borderId="61" xfId="0" applyFont="1" applyBorder="1" applyAlignment="1" applyProtection="1">
      <alignment vertical="center"/>
    </xf>
    <xf numFmtId="3" fontId="8" fillId="0" borderId="5" xfId="0" applyNumberFormat="1" applyFont="1" applyBorder="1" applyAlignment="1" applyProtection="1">
      <alignment horizontal="center" vertical="center"/>
    </xf>
    <xf numFmtId="3" fontId="8" fillId="0" borderId="62" xfId="0" applyNumberFormat="1" applyFont="1" applyBorder="1" applyAlignment="1" applyProtection="1">
      <alignment horizontal="center" vertical="center"/>
    </xf>
    <xf numFmtId="164" fontId="8" fillId="0" borderId="48" xfId="0" applyNumberFormat="1" applyFont="1" applyBorder="1" applyAlignment="1" applyProtection="1">
      <alignment vertical="center"/>
    </xf>
    <xf numFmtId="0" fontId="8" fillId="0" borderId="43" xfId="0" applyFont="1" applyBorder="1" applyAlignment="1" applyProtection="1">
      <alignment vertical="center"/>
    </xf>
    <xf numFmtId="164" fontId="8" fillId="0" borderId="37" xfId="0" applyNumberFormat="1" applyFont="1" applyBorder="1" applyAlignment="1" applyProtection="1">
      <alignment vertical="center"/>
    </xf>
    <xf numFmtId="164" fontId="8" fillId="0" borderId="63" xfId="0" applyNumberFormat="1" applyFont="1" applyBorder="1" applyAlignment="1" applyProtection="1">
      <alignment vertical="center"/>
    </xf>
    <xf numFmtId="0" fontId="40" fillId="0" borderId="0" xfId="0" applyFont="1" applyAlignment="1" applyProtection="1">
      <alignment vertical="center"/>
    </xf>
    <xf numFmtId="42" fontId="41" fillId="0" borderId="0" xfId="0" applyNumberFormat="1" applyFont="1" applyAlignment="1" applyProtection="1">
      <alignment vertical="center"/>
    </xf>
    <xf numFmtId="14" fontId="0" fillId="0" borderId="0" xfId="0" applyNumberFormat="1" applyFont="1" applyAlignment="1" applyProtection="1">
      <alignment vertical="center"/>
    </xf>
    <xf numFmtId="3" fontId="8" fillId="0" borderId="0" xfId="0" applyNumberFormat="1" applyFont="1" applyAlignment="1" applyProtection="1">
      <alignment vertical="center"/>
    </xf>
    <xf numFmtId="0" fontId="8" fillId="30" borderId="1" xfId="0" applyFont="1" applyFill="1" applyBorder="1" applyAlignment="1" applyProtection="1">
      <alignment vertical="center"/>
    </xf>
    <xf numFmtId="0" fontId="8" fillId="30" borderId="1" xfId="0" applyFont="1" applyFill="1" applyBorder="1" applyAlignment="1" applyProtection="1">
      <alignment horizontal="center" vertical="center"/>
    </xf>
    <xf numFmtId="165" fontId="8" fillId="30" borderId="1" xfId="0" applyNumberFormat="1" applyFont="1" applyFill="1" applyBorder="1" applyAlignment="1" applyProtection="1">
      <alignment horizontal="center" vertical="center"/>
    </xf>
    <xf numFmtId="10" fontId="7" fillId="6" borderId="1" xfId="0" applyNumberFormat="1" applyFont="1" applyFill="1" applyBorder="1" applyAlignment="1" applyProtection="1">
      <alignment horizontal="center" vertical="center"/>
      <protection locked="0"/>
    </xf>
    <xf numFmtId="165" fontId="6" fillId="10" borderId="1" xfId="0" applyNumberFormat="1" applyFont="1" applyFill="1" applyBorder="1" applyAlignment="1" applyProtection="1">
      <alignment horizontal="center" vertical="center"/>
    </xf>
    <xf numFmtId="3" fontId="8" fillId="0" borderId="48" xfId="0" applyNumberFormat="1" applyFont="1" applyBorder="1" applyAlignment="1" applyProtection="1">
      <alignment vertical="center"/>
    </xf>
    <xf numFmtId="0" fontId="7" fillId="0" borderId="62" xfId="0" applyFont="1" applyBorder="1" applyAlignment="1" applyProtection="1">
      <alignment vertical="center"/>
    </xf>
    <xf numFmtId="0" fontId="7" fillId="0" borderId="5" xfId="0" applyFont="1" applyBorder="1" applyAlignment="1" applyProtection="1">
      <alignment vertical="center"/>
    </xf>
    <xf numFmtId="3" fontId="5" fillId="9" borderId="1" xfId="0" applyNumberFormat="1" applyFont="1" applyFill="1" applyBorder="1" applyAlignment="1" applyProtection="1">
      <alignment horizontal="left" vertical="center"/>
    </xf>
    <xf numFmtId="3" fontId="6" fillId="9" borderId="22" xfId="0" applyNumberFormat="1" applyFont="1" applyFill="1" applyBorder="1" applyAlignment="1" applyProtection="1">
      <alignment horizontal="center" vertical="center"/>
    </xf>
    <xf numFmtId="3" fontId="6" fillId="9" borderId="4" xfId="0" applyNumberFormat="1" applyFont="1" applyFill="1" applyBorder="1" applyAlignment="1" applyProtection="1">
      <alignment horizontal="center" vertical="center"/>
    </xf>
    <xf numFmtId="3" fontId="6" fillId="9" borderId="38" xfId="0" applyNumberFormat="1" applyFont="1" applyFill="1" applyBorder="1" applyAlignment="1" applyProtection="1">
      <alignment horizontal="center" vertical="center"/>
    </xf>
    <xf numFmtId="3" fontId="6" fillId="9" borderId="14" xfId="0" applyNumberFormat="1" applyFont="1" applyFill="1" applyBorder="1" applyAlignment="1" applyProtection="1">
      <alignment horizontal="center" vertical="center"/>
    </xf>
    <xf numFmtId="0" fontId="6" fillId="12" borderId="1" xfId="0" applyFont="1" applyFill="1" applyBorder="1" applyAlignment="1" applyProtection="1">
      <alignment vertical="center"/>
    </xf>
    <xf numFmtId="44" fontId="8" fillId="12" borderId="22" xfId="0" applyNumberFormat="1" applyFont="1" applyFill="1" applyBorder="1" applyAlignment="1" applyProtection="1">
      <alignment vertical="center"/>
    </xf>
    <xf numFmtId="42" fontId="8" fillId="12" borderId="4" xfId="0" applyNumberFormat="1" applyFont="1" applyFill="1" applyBorder="1" applyAlignment="1" applyProtection="1">
      <alignment vertical="center"/>
    </xf>
    <xf numFmtId="42" fontId="8" fillId="12" borderId="1" xfId="0" applyNumberFormat="1" applyFont="1" applyFill="1" applyBorder="1" applyAlignment="1" applyProtection="1">
      <alignment vertical="center"/>
    </xf>
    <xf numFmtId="42" fontId="8" fillId="0" borderId="1" xfId="0" applyNumberFormat="1" applyFont="1" applyBorder="1" applyAlignment="1" applyProtection="1">
      <alignment vertical="center"/>
    </xf>
    <xf numFmtId="42" fontId="8" fillId="0" borderId="22" xfId="0" applyNumberFormat="1" applyFont="1" applyBorder="1" applyAlignment="1" applyProtection="1">
      <alignment vertical="center"/>
    </xf>
    <xf numFmtId="42" fontId="8" fillId="0" borderId="4" xfId="0" applyNumberFormat="1" applyFont="1" applyBorder="1" applyAlignment="1" applyProtection="1">
      <alignment vertical="center"/>
    </xf>
    <xf numFmtId="44" fontId="8" fillId="5" borderId="22" xfId="0" applyNumberFormat="1" applyFont="1" applyFill="1" applyBorder="1" applyAlignment="1" applyProtection="1">
      <alignment vertical="center"/>
    </xf>
    <xf numFmtId="44" fontId="6" fillId="10" borderId="22" xfId="0" applyNumberFormat="1" applyFont="1" applyFill="1" applyBorder="1" applyAlignment="1" applyProtection="1">
      <alignment vertical="center"/>
    </xf>
    <xf numFmtId="42" fontId="6" fillId="10" borderId="4" xfId="0" applyNumberFormat="1" applyFont="1" applyFill="1" applyBorder="1" applyAlignment="1" applyProtection="1">
      <alignment vertical="center"/>
    </xf>
    <xf numFmtId="42" fontId="6" fillId="10" borderId="1" xfId="0" applyNumberFormat="1" applyFont="1" applyFill="1" applyBorder="1" applyAlignment="1" applyProtection="1">
      <alignment vertical="center"/>
    </xf>
    <xf numFmtId="42" fontId="6" fillId="10" borderId="22" xfId="0" applyNumberFormat="1" applyFont="1" applyFill="1" applyBorder="1" applyAlignment="1" applyProtection="1">
      <alignment vertical="center"/>
    </xf>
    <xf numFmtId="44" fontId="8" fillId="5" borderId="0" xfId="0" applyNumberFormat="1" applyFont="1" applyFill="1" applyAlignment="1" applyProtection="1">
      <alignment vertical="center"/>
    </xf>
    <xf numFmtId="0" fontId="13" fillId="0" borderId="0" xfId="0" applyFont="1" applyAlignment="1" applyProtection="1">
      <alignment vertical="center"/>
    </xf>
    <xf numFmtId="0" fontId="0" fillId="0" borderId="73" xfId="0" applyFont="1" applyBorder="1" applyAlignment="1" applyProtection="1">
      <alignment vertical="center"/>
    </xf>
    <xf numFmtId="3" fontId="8" fillId="5" borderId="45" xfId="0" applyNumberFormat="1" applyFont="1" applyFill="1" applyBorder="1" applyAlignment="1" applyProtection="1">
      <alignment horizontal="center" vertical="center"/>
    </xf>
    <xf numFmtId="3" fontId="6" fillId="5" borderId="48" xfId="0" applyNumberFormat="1" applyFont="1" applyFill="1" applyBorder="1" applyAlignment="1" applyProtection="1">
      <alignment horizontal="center" vertical="center"/>
    </xf>
    <xf numFmtId="42" fontId="5" fillId="33" borderId="74" xfId="0" applyNumberFormat="1" applyFont="1" applyFill="1" applyBorder="1" applyAlignment="1" applyProtection="1">
      <alignment vertical="center"/>
    </xf>
    <xf numFmtId="3" fontId="6" fillId="32" borderId="44" xfId="0" applyNumberFormat="1" applyFont="1" applyFill="1" applyBorder="1" applyAlignment="1" applyProtection="1">
      <alignment horizontal="center" vertical="center"/>
    </xf>
    <xf numFmtId="42" fontId="8" fillId="6" borderId="4" xfId="0" applyNumberFormat="1" applyFont="1" applyFill="1" applyBorder="1" applyAlignment="1" applyProtection="1">
      <alignment vertical="center"/>
      <protection locked="0"/>
    </xf>
    <xf numFmtId="42" fontId="8" fillId="6" borderId="1" xfId="0" applyNumberFormat="1" applyFont="1" applyFill="1" applyBorder="1" applyAlignment="1" applyProtection="1">
      <alignment vertical="center"/>
      <protection locked="0"/>
    </xf>
    <xf numFmtId="42" fontId="8" fillId="6" borderId="22" xfId="0" applyNumberFormat="1" applyFont="1" applyFill="1" applyBorder="1" applyAlignment="1" applyProtection="1">
      <alignment vertical="center"/>
      <protection locked="0"/>
    </xf>
    <xf numFmtId="42" fontId="8" fillId="6" borderId="75" xfId="0" applyNumberFormat="1" applyFont="1" applyFill="1" applyBorder="1" applyAlignment="1" applyProtection="1">
      <alignment vertical="center"/>
      <protection locked="0"/>
    </xf>
    <xf numFmtId="42" fontId="8" fillId="6" borderId="32" xfId="0" applyNumberFormat="1" applyFont="1" applyFill="1" applyBorder="1" applyAlignment="1" applyProtection="1">
      <alignment vertical="center"/>
      <protection locked="0"/>
    </xf>
    <xf numFmtId="42" fontId="8" fillId="6" borderId="33" xfId="0" applyNumberFormat="1" applyFont="1" applyFill="1" applyBorder="1" applyAlignment="1" applyProtection="1">
      <alignment vertical="center"/>
      <protection locked="0"/>
    </xf>
    <xf numFmtId="42" fontId="8" fillId="6" borderId="64" xfId="0" applyNumberFormat="1" applyFont="1" applyFill="1" applyBorder="1" applyAlignment="1" applyProtection="1">
      <alignment vertical="center"/>
      <protection locked="0"/>
    </xf>
    <xf numFmtId="42" fontId="8" fillId="6" borderId="69" xfId="0" applyNumberFormat="1" applyFont="1" applyFill="1" applyBorder="1" applyAlignment="1" applyProtection="1">
      <alignment vertical="center"/>
      <protection locked="0"/>
    </xf>
    <xf numFmtId="42" fontId="8" fillId="6" borderId="44" xfId="0" applyNumberFormat="1" applyFont="1" applyFill="1" applyBorder="1" applyAlignment="1" applyProtection="1">
      <alignment vertical="center"/>
      <protection locked="0"/>
    </xf>
    <xf numFmtId="42" fontId="6" fillId="10" borderId="10" xfId="0" applyNumberFormat="1" applyFont="1" applyFill="1" applyBorder="1" applyAlignment="1" applyProtection="1">
      <alignment vertical="center"/>
    </xf>
    <xf numFmtId="0" fontId="7" fillId="0" borderId="9" xfId="0" applyFont="1" applyBorder="1" applyAlignment="1" applyProtection="1">
      <alignment vertical="center"/>
    </xf>
    <xf numFmtId="0" fontId="13" fillId="7" borderId="0" xfId="0" applyFont="1" applyFill="1" applyAlignment="1" applyProtection="1">
      <alignment vertical="center"/>
    </xf>
    <xf numFmtId="0" fontId="11" fillId="7" borderId="0" xfId="0" applyFont="1" applyFill="1" applyAlignment="1" applyProtection="1">
      <alignment vertical="center"/>
    </xf>
    <xf numFmtId="0" fontId="11" fillId="24" borderId="0" xfId="0" applyFont="1" applyFill="1" applyAlignment="1" applyProtection="1">
      <alignment vertical="center"/>
    </xf>
    <xf numFmtId="0" fontId="7" fillId="24" borderId="0" xfId="0" applyFont="1" applyFill="1" applyAlignment="1" applyProtection="1">
      <alignment vertical="center"/>
    </xf>
    <xf numFmtId="0" fontId="8" fillId="10" borderId="1"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7" fillId="0" borderId="1" xfId="0" applyNumberFormat="1" applyFont="1" applyBorder="1" applyAlignment="1" applyProtection="1">
      <alignment vertical="center"/>
    </xf>
    <xf numFmtId="8" fontId="10" fillId="0" borderId="45" xfId="0" applyNumberFormat="1" applyFont="1" applyBorder="1" applyAlignment="1" applyProtection="1">
      <alignment horizontal="center" vertical="center" wrapText="1"/>
    </xf>
    <xf numFmtId="0" fontId="9" fillId="0" borderId="45" xfId="0" applyFont="1" applyBorder="1" applyAlignment="1" applyProtection="1">
      <alignment vertical="center"/>
    </xf>
    <xf numFmtId="0" fontId="8" fillId="8" borderId="1" xfId="0" applyFont="1" applyFill="1" applyBorder="1" applyAlignment="1" applyProtection="1">
      <alignment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6" fillId="5" borderId="11" xfId="0" applyFont="1" applyFill="1" applyBorder="1" applyAlignment="1" applyProtection="1">
      <alignment vertical="center"/>
    </xf>
    <xf numFmtId="165" fontId="8" fillId="0" borderId="2" xfId="0" applyNumberFormat="1" applyFont="1" applyBorder="1" applyAlignment="1" applyProtection="1">
      <alignment horizontal="center" vertical="center"/>
    </xf>
    <xf numFmtId="177" fontId="8" fillId="5" borderId="11" xfId="0" applyNumberFormat="1" applyFont="1" applyFill="1" applyBorder="1" applyAlignment="1" applyProtection="1">
      <alignment vertical="center"/>
    </xf>
    <xf numFmtId="9" fontId="7" fillId="6" borderId="0" xfId="0" applyNumberFormat="1" applyFont="1" applyFill="1" applyAlignment="1" applyProtection="1">
      <alignment vertical="center"/>
      <protection locked="0"/>
    </xf>
    <xf numFmtId="0" fontId="0" fillId="0" borderId="45" xfId="0" applyFont="1" applyBorder="1" applyAlignment="1" applyProtection="1">
      <alignment vertical="center"/>
    </xf>
    <xf numFmtId="0" fontId="10" fillId="0" borderId="72" xfId="0" applyFont="1" applyBorder="1" applyAlignment="1" applyProtection="1">
      <alignment vertical="center"/>
    </xf>
    <xf numFmtId="0" fontId="7" fillId="0" borderId="71" xfId="0" applyFont="1" applyBorder="1" applyAlignment="1" applyProtection="1">
      <alignment vertical="center"/>
    </xf>
    <xf numFmtId="42" fontId="5" fillId="9" borderId="1" xfId="0" applyNumberFormat="1" applyFont="1" applyFill="1" applyBorder="1" applyAlignment="1" applyProtection="1">
      <alignment vertical="center"/>
    </xf>
    <xf numFmtId="42" fontId="5" fillId="9" borderId="65" xfId="0" applyNumberFormat="1" applyFont="1" applyFill="1" applyBorder="1" applyAlignment="1" applyProtection="1">
      <alignment vertical="center"/>
    </xf>
    <xf numFmtId="3" fontId="6" fillId="9" borderId="69" xfId="0" applyNumberFormat="1" applyFont="1" applyFill="1" applyBorder="1" applyAlignment="1" applyProtection="1">
      <alignment horizontal="center" vertical="center"/>
    </xf>
    <xf numFmtId="3" fontId="6" fillId="9" borderId="44" xfId="0" applyNumberFormat="1" applyFont="1" applyFill="1" applyBorder="1" applyAlignment="1" applyProtection="1">
      <alignment horizontal="center" vertical="center"/>
    </xf>
    <xf numFmtId="3" fontId="6" fillId="9" borderId="70" xfId="0" applyNumberFormat="1" applyFont="1" applyFill="1" applyBorder="1" applyAlignment="1" applyProtection="1">
      <alignment horizontal="center" vertical="center"/>
    </xf>
    <xf numFmtId="0" fontId="8" fillId="6" borderId="65" xfId="0" applyFont="1" applyFill="1" applyBorder="1" applyAlignment="1" applyProtection="1">
      <alignment vertical="center"/>
      <protection locked="0"/>
    </xf>
    <xf numFmtId="164" fontId="8" fillId="6" borderId="69" xfId="0" applyNumberFormat="1" applyFont="1" applyFill="1" applyBorder="1" applyAlignment="1" applyProtection="1">
      <alignment horizontal="center" vertical="center"/>
      <protection locked="0"/>
    </xf>
    <xf numFmtId="164" fontId="8" fillId="6" borderId="44"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164" fontId="8" fillId="6" borderId="70" xfId="0" applyNumberFormat="1" applyFont="1" applyFill="1" applyBorder="1" applyAlignment="1" applyProtection="1">
      <alignment horizontal="center" vertical="center"/>
      <protection locked="0"/>
    </xf>
    <xf numFmtId="0" fontId="6" fillId="10" borderId="65" xfId="0" applyFont="1" applyFill="1" applyBorder="1" applyAlignment="1" applyProtection="1">
      <alignment vertical="center"/>
    </xf>
    <xf numFmtId="164" fontId="8" fillId="10" borderId="69" xfId="0" applyNumberFormat="1" applyFont="1" applyFill="1" applyBorder="1" applyAlignment="1" applyProtection="1">
      <alignment horizontal="center" vertical="center"/>
    </xf>
    <xf numFmtId="164" fontId="8" fillId="10" borderId="44" xfId="0" applyNumberFormat="1" applyFont="1" applyFill="1" applyBorder="1" applyAlignment="1" applyProtection="1">
      <alignment horizontal="center" vertical="center"/>
    </xf>
    <xf numFmtId="164" fontId="8" fillId="10" borderId="1" xfId="0" applyNumberFormat="1" applyFont="1" applyFill="1" applyBorder="1" applyAlignment="1" applyProtection="1">
      <alignment horizontal="center" vertical="center"/>
    </xf>
    <xf numFmtId="164" fontId="8" fillId="10" borderId="70" xfId="0" applyNumberFormat="1" applyFont="1" applyFill="1" applyBorder="1" applyAlignment="1" applyProtection="1">
      <alignment horizontal="center" vertical="center"/>
    </xf>
    <xf numFmtId="164" fontId="8" fillId="10" borderId="4" xfId="0" applyNumberFormat="1" applyFont="1" applyFill="1" applyBorder="1" applyAlignment="1" applyProtection="1">
      <alignment horizontal="center" vertical="center"/>
    </xf>
    <xf numFmtId="0" fontId="10" fillId="0" borderId="0" xfId="0" applyFont="1" applyAlignment="1" applyProtection="1">
      <alignment vertical="center"/>
    </xf>
    <xf numFmtId="9" fontId="8" fillId="6" borderId="1" xfId="0" applyNumberFormat="1" applyFont="1" applyFill="1" applyBorder="1" applyAlignment="1" applyProtection="1">
      <alignment horizontal="center" vertical="center"/>
    </xf>
    <xf numFmtId="42" fontId="5" fillId="9" borderId="70" xfId="0" applyNumberFormat="1" applyFont="1" applyFill="1" applyBorder="1" applyAlignment="1" applyProtection="1">
      <alignment vertical="center"/>
    </xf>
    <xf numFmtId="0" fontId="8" fillId="6" borderId="1" xfId="0" applyFont="1" applyFill="1" applyBorder="1" applyAlignment="1" applyProtection="1">
      <alignment wrapText="1"/>
      <protection locked="0"/>
    </xf>
    <xf numFmtId="0" fontId="8" fillId="6" borderId="70" xfId="0" applyFont="1" applyFill="1" applyBorder="1" applyAlignment="1" applyProtection="1">
      <alignment wrapText="1"/>
      <protection locked="0"/>
    </xf>
    <xf numFmtId="164" fontId="8" fillId="6" borderId="22" xfId="0" applyNumberFormat="1" applyFont="1" applyFill="1" applyBorder="1" applyAlignment="1" applyProtection="1">
      <alignment horizontal="center" vertical="center"/>
      <protection locked="0"/>
    </xf>
    <xf numFmtId="0" fontId="8" fillId="6" borderId="70" xfId="0" applyFont="1" applyFill="1" applyBorder="1" applyAlignment="1" applyProtection="1">
      <alignment vertical="center"/>
      <protection locked="0"/>
    </xf>
    <xf numFmtId="0" fontId="8" fillId="6" borderId="1" xfId="0" applyFont="1" applyFill="1" applyBorder="1" applyAlignment="1" applyProtection="1">
      <alignment vertical="center"/>
    </xf>
    <xf numFmtId="0" fontId="8" fillId="6" borderId="70" xfId="0" applyFont="1" applyFill="1" applyBorder="1" applyAlignment="1" applyProtection="1">
      <alignment vertical="center"/>
    </xf>
    <xf numFmtId="164" fontId="8" fillId="6" borderId="4"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xf>
    <xf numFmtId="164" fontId="8" fillId="6" borderId="22" xfId="0" applyNumberFormat="1" applyFont="1" applyFill="1" applyBorder="1" applyAlignment="1" applyProtection="1">
      <alignment horizontal="center" vertical="center"/>
    </xf>
    <xf numFmtId="0" fontId="6" fillId="10" borderId="70" xfId="0" applyFont="1" applyFill="1" applyBorder="1" applyAlignment="1" applyProtection="1">
      <alignment vertical="center"/>
    </xf>
    <xf numFmtId="164" fontId="8" fillId="10" borderId="22" xfId="0" applyNumberFormat="1" applyFont="1" applyFill="1" applyBorder="1" applyAlignment="1" applyProtection="1">
      <alignment horizontal="center" vertical="center"/>
    </xf>
    <xf numFmtId="2" fontId="8" fillId="0" borderId="0" xfId="0" applyNumberFormat="1" applyFont="1" applyAlignment="1" applyProtection="1">
      <alignment vertical="center"/>
    </xf>
    <xf numFmtId="1" fontId="8" fillId="0" borderId="0" xfId="0" applyNumberFormat="1" applyFont="1" applyAlignment="1" applyProtection="1">
      <alignment vertical="center"/>
    </xf>
    <xf numFmtId="177" fontId="8" fillId="5" borderId="0" xfId="0" applyNumberFormat="1" applyFont="1" applyFill="1" applyAlignment="1" applyProtection="1">
      <alignment vertical="center"/>
    </xf>
    <xf numFmtId="170" fontId="8" fillId="0" borderId="0" xfId="0" applyNumberFormat="1" applyFont="1" applyAlignment="1" applyProtection="1">
      <alignment vertical="center"/>
    </xf>
    <xf numFmtId="0" fontId="6" fillId="37" borderId="45" xfId="0" applyFont="1" applyFill="1" applyBorder="1" applyAlignment="1" applyProtection="1">
      <alignment vertical="center"/>
    </xf>
    <xf numFmtId="0" fontId="7" fillId="37" borderId="45" xfId="0" applyFont="1" applyFill="1" applyBorder="1" applyAlignment="1" applyProtection="1">
      <alignment vertical="center"/>
    </xf>
    <xf numFmtId="165" fontId="6" fillId="37" borderId="45" xfId="0" applyNumberFormat="1" applyFont="1" applyFill="1" applyBorder="1" applyAlignment="1" applyProtection="1">
      <alignment horizontal="center" vertical="center"/>
    </xf>
    <xf numFmtId="177" fontId="8" fillId="31" borderId="0" xfId="0" applyNumberFormat="1" applyFont="1" applyFill="1" applyAlignment="1" applyProtection="1">
      <alignment vertical="center"/>
    </xf>
    <xf numFmtId="177" fontId="8" fillId="0" borderId="0" xfId="0" applyNumberFormat="1" applyFont="1" applyAlignment="1" applyProtection="1">
      <alignment vertical="center"/>
    </xf>
    <xf numFmtId="3" fontId="8" fillId="8" borderId="1" xfId="0" applyNumberFormat="1" applyFont="1" applyFill="1" applyBorder="1" applyAlignment="1" applyProtection="1">
      <alignment horizontal="left" vertical="center"/>
    </xf>
    <xf numFmtId="3" fontId="8" fillId="8" borderId="1" xfId="0" applyNumberFormat="1" applyFont="1"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3" fontId="6" fillId="5" borderId="45" xfId="0" applyNumberFormat="1" applyFont="1" applyFill="1" applyBorder="1" applyAlignment="1" applyProtection="1">
      <alignment horizontal="center" vertical="center"/>
    </xf>
    <xf numFmtId="0" fontId="5" fillId="9" borderId="1" xfId="0" applyNumberFormat="1" applyFont="1" applyFill="1" applyBorder="1" applyAlignment="1" applyProtection="1">
      <alignment vertical="center"/>
    </xf>
    <xf numFmtId="3" fontId="6" fillId="34" borderId="69" xfId="0" applyNumberFormat="1" applyFont="1" applyFill="1" applyBorder="1" applyAlignment="1" applyProtection="1">
      <alignment horizontal="center" vertical="center"/>
    </xf>
    <xf numFmtId="3" fontId="6" fillId="34" borderId="64" xfId="0" applyNumberFormat="1" applyFont="1" applyFill="1" applyBorder="1" applyAlignment="1" applyProtection="1">
      <alignment horizontal="center" vertical="center"/>
    </xf>
    <xf numFmtId="3" fontId="6" fillId="34" borderId="65" xfId="0" applyNumberFormat="1" applyFont="1" applyFill="1" applyBorder="1" applyAlignment="1" applyProtection="1">
      <alignment horizontal="center" vertical="center"/>
    </xf>
    <xf numFmtId="3" fontId="6" fillId="34" borderId="1" xfId="0" applyNumberFormat="1" applyFont="1" applyFill="1" applyBorder="1" applyAlignment="1" applyProtection="1">
      <alignment horizontal="center" vertical="center"/>
    </xf>
    <xf numFmtId="0" fontId="8" fillId="0" borderId="69" xfId="0" applyFont="1" applyBorder="1" applyAlignment="1" applyProtection="1">
      <alignment vertical="center" wrapText="1"/>
    </xf>
    <xf numFmtId="171" fontId="8" fillId="0" borderId="69" xfId="0" applyNumberFormat="1" applyFont="1" applyBorder="1" applyAlignment="1" applyProtection="1">
      <alignment vertical="center"/>
    </xf>
    <xf numFmtId="0" fontId="6" fillId="10" borderId="69" xfId="0" applyFont="1" applyFill="1" applyBorder="1" applyAlignment="1" applyProtection="1">
      <alignment wrapText="1"/>
    </xf>
    <xf numFmtId="42" fontId="6" fillId="10" borderId="69" xfId="0" applyNumberFormat="1" applyFont="1" applyFill="1" applyBorder="1" applyAlignment="1" applyProtection="1">
      <alignment vertical="center"/>
    </xf>
    <xf numFmtId="42" fontId="6" fillId="10" borderId="66" xfId="0" applyNumberFormat="1" applyFont="1" applyFill="1" applyBorder="1" applyAlignment="1" applyProtection="1">
      <alignment vertical="center"/>
    </xf>
    <xf numFmtId="0" fontId="8" fillId="0" borderId="45" xfId="0" applyFont="1" applyBorder="1" applyAlignment="1" applyProtection="1">
      <alignment wrapText="1"/>
    </xf>
    <xf numFmtId="42" fontId="8" fillId="0" borderId="78" xfId="0" applyNumberFormat="1" applyFont="1" applyBorder="1" applyAlignment="1" applyProtection="1">
      <alignment vertical="center"/>
    </xf>
    <xf numFmtId="0" fontId="6" fillId="35" borderId="69" xfId="0" applyFont="1" applyFill="1" applyBorder="1" applyAlignment="1" applyProtection="1">
      <alignment wrapText="1"/>
    </xf>
    <xf numFmtId="3" fontId="6" fillId="35" borderId="64" xfId="0" applyNumberFormat="1" applyFont="1" applyFill="1" applyBorder="1" applyAlignment="1" applyProtection="1">
      <alignment horizontal="center" vertical="center"/>
    </xf>
    <xf numFmtId="3" fontId="6" fillId="35" borderId="58" xfId="0" applyNumberFormat="1" applyFont="1" applyFill="1" applyBorder="1" applyAlignment="1" applyProtection="1">
      <alignment horizontal="center" vertical="center"/>
    </xf>
    <xf numFmtId="3" fontId="6" fillId="35" borderId="65" xfId="0" applyNumberFormat="1" applyFont="1" applyFill="1" applyBorder="1" applyAlignment="1" applyProtection="1">
      <alignment horizontal="center" vertical="center"/>
    </xf>
    <xf numFmtId="3" fontId="6" fillId="35" borderId="1" xfId="0" applyNumberFormat="1" applyFont="1" applyFill="1" applyBorder="1" applyAlignment="1" applyProtection="1">
      <alignment horizontal="center" vertical="center"/>
    </xf>
    <xf numFmtId="0" fontId="8" fillId="6" borderId="69" xfId="0" applyFont="1" applyFill="1" applyBorder="1" applyAlignment="1" applyProtection="1">
      <alignment vertical="center"/>
      <protection locked="0"/>
    </xf>
    <xf numFmtId="165" fontId="8" fillId="6" borderId="1" xfId="0" applyNumberFormat="1" applyFont="1" applyFill="1" applyBorder="1" applyAlignment="1" applyProtection="1">
      <alignment vertical="center"/>
      <protection locked="0"/>
    </xf>
    <xf numFmtId="0" fontId="6" fillId="10" borderId="69" xfId="0" applyFont="1" applyFill="1" applyBorder="1" applyAlignment="1" applyProtection="1">
      <alignment vertical="center"/>
    </xf>
    <xf numFmtId="42" fontId="6" fillId="10" borderId="67" xfId="0" applyNumberFormat="1" applyFont="1" applyFill="1" applyBorder="1" applyAlignment="1" applyProtection="1">
      <alignment vertical="center"/>
    </xf>
    <xf numFmtId="42" fontId="6" fillId="10" borderId="68" xfId="0" applyNumberFormat="1" applyFont="1" applyFill="1" applyBorder="1" applyAlignment="1" applyProtection="1">
      <alignment vertical="center"/>
    </xf>
    <xf numFmtId="177" fontId="6" fillId="5" borderId="11" xfId="0" applyNumberFormat="1" applyFont="1" applyFill="1" applyBorder="1" applyAlignment="1" applyProtection="1">
      <alignment vertical="center"/>
    </xf>
    <xf numFmtId="0" fontId="5" fillId="9" borderId="69" xfId="0" applyNumberFormat="1" applyFont="1" applyFill="1" applyBorder="1" applyAlignment="1" applyProtection="1">
      <alignment vertical="center"/>
    </xf>
    <xf numFmtId="42" fontId="5" fillId="9" borderId="69" xfId="0" applyNumberFormat="1" applyFont="1" applyFill="1" applyBorder="1" applyAlignment="1" applyProtection="1">
      <alignment vertical="center"/>
    </xf>
    <xf numFmtId="0" fontId="7" fillId="6" borderId="69" xfId="0" applyFont="1" applyFill="1" applyBorder="1" applyAlignment="1" applyProtection="1">
      <alignment vertical="center"/>
      <protection locked="0"/>
    </xf>
    <xf numFmtId="0" fontId="7" fillId="0" borderId="45" xfId="0" applyFont="1" applyBorder="1" applyAlignment="1" applyProtection="1">
      <alignment horizontal="center" vertical="center"/>
    </xf>
    <xf numFmtId="0" fontId="7" fillId="0" borderId="45" xfId="0" applyFont="1" applyBorder="1" applyAlignment="1" applyProtection="1">
      <alignment vertical="center"/>
    </xf>
    <xf numFmtId="177" fontId="6" fillId="5" borderId="0" xfId="0" applyNumberFormat="1" applyFont="1" applyFill="1" applyAlignment="1" applyProtection="1">
      <alignment vertical="center"/>
    </xf>
    <xf numFmtId="0" fontId="6" fillId="10" borderId="33" xfId="0" applyFont="1" applyFill="1" applyBorder="1" applyAlignment="1" applyProtection="1">
      <alignment vertical="center"/>
    </xf>
    <xf numFmtId="0" fontId="30" fillId="6" borderId="69" xfId="0" applyFont="1" applyFill="1" applyBorder="1" applyAlignment="1" applyProtection="1">
      <alignment vertical="center"/>
      <protection locked="0"/>
    </xf>
    <xf numFmtId="164" fontId="8" fillId="10" borderId="60" xfId="0" applyNumberFormat="1"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0" fontId="5" fillId="9" borderId="77" xfId="0" applyNumberFormat="1" applyFont="1" applyFill="1" applyBorder="1" applyAlignment="1" applyProtection="1">
      <alignment vertical="center"/>
    </xf>
    <xf numFmtId="164" fontId="8" fillId="6" borderId="79" xfId="0" applyNumberFormat="1" applyFont="1" applyFill="1" applyBorder="1" applyAlignment="1" applyProtection="1">
      <alignment horizontal="center" vertical="center"/>
      <protection locked="0"/>
    </xf>
    <xf numFmtId="165" fontId="7" fillId="5" borderId="69" xfId="0" applyNumberFormat="1" applyFont="1" applyFill="1" applyBorder="1" applyAlignment="1" applyProtection="1">
      <alignment horizontal="center" vertical="center"/>
    </xf>
    <xf numFmtId="165" fontId="7" fillId="5" borderId="44" xfId="0" applyNumberFormat="1" applyFont="1" applyFill="1" applyBorder="1" applyAlignment="1" applyProtection="1">
      <alignment horizontal="center" vertical="center"/>
    </xf>
    <xf numFmtId="165" fontId="7" fillId="5" borderId="1" xfId="0" applyNumberFormat="1" applyFont="1" applyFill="1" applyBorder="1" applyAlignment="1" applyProtection="1">
      <alignment horizontal="center" vertical="center"/>
    </xf>
    <xf numFmtId="165" fontId="7" fillId="5" borderId="70"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6" fillId="25" borderId="1" xfId="0" applyFont="1" applyFill="1" applyBorder="1" applyAlignment="1" applyProtection="1">
      <alignment horizontal="center" vertical="center"/>
      <protection locked="0"/>
    </xf>
    <xf numFmtId="0" fontId="0" fillId="0" borderId="0" xfId="0" applyFont="1" applyAlignment="1" applyProtection="1">
      <alignment vertical="center"/>
    </xf>
    <xf numFmtId="0" fontId="0" fillId="0" borderId="0" xfId="0" applyFont="1" applyAlignment="1">
      <alignment vertical="center"/>
    </xf>
    <xf numFmtId="0" fontId="0" fillId="0" borderId="0" xfId="0" applyFont="1" applyAlignment="1" applyProtection="1">
      <alignment horizontal="left" vertical="center" wrapText="1"/>
    </xf>
    <xf numFmtId="0" fontId="4" fillId="0" borderId="45" xfId="0" applyFont="1" applyBorder="1" applyAlignment="1" applyProtection="1">
      <alignment vertical="center"/>
    </xf>
    <xf numFmtId="0" fontId="8" fillId="0" borderId="73" xfId="0" applyFont="1" applyBorder="1" applyAlignment="1" applyProtection="1">
      <alignment vertical="center"/>
    </xf>
    <xf numFmtId="165" fontId="7" fillId="40" borderId="86" xfId="0" applyNumberFormat="1" applyFont="1" applyFill="1" applyBorder="1" applyAlignment="1" applyProtection="1">
      <alignment horizontal="center" vertical="center"/>
    </xf>
    <xf numFmtId="165" fontId="0" fillId="41" borderId="86" xfId="2" applyNumberFormat="1" applyFont="1" applyFill="1" applyBorder="1" applyAlignment="1" applyProtection="1">
      <alignment horizontal="center" vertical="center"/>
    </xf>
    <xf numFmtId="165" fontId="0" fillId="31" borderId="73" xfId="2" applyNumberFormat="1" applyFont="1" applyFill="1" applyBorder="1" applyAlignment="1" applyProtection="1">
      <alignment horizontal="center" vertical="center"/>
    </xf>
    <xf numFmtId="168" fontId="8" fillId="0" borderId="74" xfId="0" applyNumberFormat="1" applyFont="1" applyBorder="1" applyAlignment="1" applyProtection="1">
      <alignment horizontal="center" vertical="center"/>
    </xf>
    <xf numFmtId="10" fontId="8" fillId="0" borderId="45" xfId="0" applyNumberFormat="1" applyFont="1" applyBorder="1" applyAlignment="1" applyProtection="1">
      <alignment vertical="center"/>
    </xf>
    <xf numFmtId="0" fontId="17" fillId="6" borderId="1" xfId="0" applyFont="1" applyFill="1" applyBorder="1" applyAlignment="1" applyProtection="1">
      <alignment horizontal="left" vertical="center"/>
      <protection locked="0"/>
    </xf>
    <xf numFmtId="0" fontId="5" fillId="45" borderId="0" xfId="0" applyFont="1" applyFill="1" applyAlignment="1" applyProtection="1">
      <alignment vertical="center"/>
    </xf>
    <xf numFmtId="0" fontId="13" fillId="45" borderId="0" xfId="0" applyFont="1" applyFill="1" applyAlignment="1" applyProtection="1">
      <alignment horizontal="center" vertical="center"/>
    </xf>
    <xf numFmtId="0" fontId="13" fillId="45" borderId="0" xfId="0" applyFont="1" applyFill="1" applyAlignment="1" applyProtection="1">
      <alignment vertical="center"/>
    </xf>
    <xf numFmtId="0" fontId="17" fillId="0" borderId="45" xfId="0" applyFont="1" applyBorder="1" applyAlignment="1" applyProtection="1">
      <alignment vertical="center"/>
    </xf>
    <xf numFmtId="0" fontId="0" fillId="0" borderId="45" xfId="0" applyFont="1" applyBorder="1" applyAlignment="1" applyProtection="1">
      <alignment horizontal="center" vertical="center"/>
    </xf>
    <xf numFmtId="0" fontId="5" fillId="48" borderId="45" xfId="0" applyFont="1" applyFill="1" applyBorder="1" applyAlignment="1" applyProtection="1">
      <alignment vertical="center"/>
    </xf>
    <xf numFmtId="0" fontId="13" fillId="48" borderId="45" xfId="0" applyFont="1" applyFill="1" applyBorder="1" applyAlignment="1" applyProtection="1">
      <alignment horizontal="center" vertical="center"/>
    </xf>
    <xf numFmtId="0" fontId="13" fillId="48" borderId="45" xfId="0" applyFont="1" applyFill="1" applyBorder="1" applyAlignment="1" applyProtection="1">
      <alignment vertical="center"/>
    </xf>
    <xf numFmtId="0" fontId="7" fillId="31" borderId="45" xfId="0" applyFont="1" applyFill="1" applyBorder="1" applyAlignment="1" applyProtection="1">
      <alignment vertical="center"/>
    </xf>
    <xf numFmtId="4" fontId="17" fillId="37" borderId="45" xfId="0" applyNumberFormat="1" applyFont="1" applyFill="1" applyBorder="1" applyAlignment="1" applyProtection="1">
      <alignment horizontal="center" vertical="center" wrapText="1"/>
    </xf>
    <xf numFmtId="0" fontId="17" fillId="37" borderId="45" xfId="0" applyFont="1" applyFill="1" applyBorder="1" applyAlignment="1" applyProtection="1">
      <alignment vertical="center" wrapText="1"/>
    </xf>
    <xf numFmtId="3" fontId="17" fillId="45" borderId="45" xfId="0" applyNumberFormat="1" applyFont="1" applyFill="1" applyBorder="1" applyAlignment="1" applyProtection="1">
      <alignment horizontal="center" vertical="center"/>
    </xf>
    <xf numFmtId="4" fontId="17" fillId="31" borderId="45" xfId="0" applyNumberFormat="1" applyFont="1" applyFill="1" applyBorder="1" applyAlignment="1" applyProtection="1">
      <alignment horizontal="center" vertical="center"/>
    </xf>
    <xf numFmtId="164" fontId="17" fillId="31" borderId="45" xfId="0" applyNumberFormat="1" applyFont="1" applyFill="1" applyBorder="1" applyAlignment="1" applyProtection="1">
      <alignment horizontal="center" vertical="center"/>
    </xf>
    <xf numFmtId="0" fontId="16" fillId="49" borderId="45" xfId="0" applyFont="1" applyFill="1" applyBorder="1" applyAlignment="1" applyProtection="1">
      <alignment vertical="center"/>
    </xf>
    <xf numFmtId="0" fontId="11" fillId="49" borderId="45" xfId="0" applyFont="1" applyFill="1" applyBorder="1" applyAlignment="1" applyProtection="1">
      <alignment vertical="center"/>
    </xf>
    <xf numFmtId="0" fontId="13" fillId="49" borderId="45" xfId="0" applyFont="1" applyFill="1" applyBorder="1" applyAlignment="1" applyProtection="1">
      <alignment horizontal="center" vertical="center"/>
    </xf>
    <xf numFmtId="164" fontId="13" fillId="49" borderId="45" xfId="0" applyNumberFormat="1" applyFont="1" applyFill="1" applyBorder="1" applyAlignment="1" applyProtection="1">
      <alignment vertical="center"/>
    </xf>
    <xf numFmtId="0" fontId="11" fillId="48" borderId="45" xfId="0" applyFont="1" applyFill="1" applyBorder="1" applyAlignment="1" applyProtection="1">
      <alignment vertical="center"/>
    </xf>
    <xf numFmtId="164" fontId="13" fillId="49" borderId="45" xfId="0" applyNumberFormat="1" applyFont="1" applyFill="1" applyBorder="1" applyAlignment="1" applyProtection="1">
      <alignment horizontal="center" vertical="center"/>
    </xf>
    <xf numFmtId="173" fontId="0" fillId="0" borderId="1" xfId="0" applyNumberFormat="1" applyFont="1" applyBorder="1" applyAlignment="1" applyProtection="1">
      <alignment horizontal="center" vertical="center"/>
    </xf>
    <xf numFmtId="173" fontId="11" fillId="10" borderId="1"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2" fillId="5" borderId="0" xfId="0" applyFont="1" applyFill="1" applyAlignment="1" applyProtection="1">
      <alignment horizontal="left" vertical="top"/>
    </xf>
    <xf numFmtId="44" fontId="8" fillId="6" borderId="88" xfId="0" applyNumberFormat="1" applyFont="1" applyFill="1" applyBorder="1" applyAlignment="1" applyProtection="1">
      <alignment vertical="center"/>
      <protection locked="0"/>
    </xf>
    <xf numFmtId="3" fontId="6" fillId="10" borderId="88" xfId="0" applyNumberFormat="1" applyFont="1" applyFill="1" applyBorder="1" applyAlignment="1" applyProtection="1">
      <alignment vertical="center"/>
    </xf>
    <xf numFmtId="42" fontId="5" fillId="33" borderId="32" xfId="0" applyNumberFormat="1" applyFont="1" applyFill="1" applyBorder="1" applyAlignment="1" applyProtection="1">
      <alignment vertical="center"/>
    </xf>
    <xf numFmtId="0" fontId="6" fillId="29" borderId="69" xfId="0" applyFont="1" applyFill="1" applyBorder="1" applyAlignment="1" applyProtection="1">
      <alignment vertical="center"/>
      <protection locked="0"/>
    </xf>
    <xf numFmtId="44" fontId="8" fillId="29" borderId="88" xfId="0" applyNumberFormat="1" applyFont="1" applyFill="1" applyBorder="1" applyAlignment="1" applyProtection="1">
      <alignment vertical="center"/>
      <protection locked="0"/>
    </xf>
    <xf numFmtId="42" fontId="8" fillId="29" borderId="4" xfId="0" applyNumberFormat="1" applyFont="1" applyFill="1" applyBorder="1" applyAlignment="1" applyProtection="1">
      <alignment vertical="center"/>
      <protection locked="0"/>
    </xf>
    <xf numFmtId="42" fontId="8" fillId="29" borderId="1" xfId="0" applyNumberFormat="1" applyFont="1" applyFill="1" applyBorder="1" applyAlignment="1" applyProtection="1">
      <alignment vertical="center"/>
      <protection locked="0"/>
    </xf>
    <xf numFmtId="0" fontId="7" fillId="29" borderId="1" xfId="0" applyFont="1" applyFill="1" applyBorder="1" applyAlignment="1" applyProtection="1">
      <alignment vertical="center"/>
      <protection locked="0"/>
    </xf>
    <xf numFmtId="42" fontId="8" fillId="29" borderId="22" xfId="0" applyNumberFormat="1" applyFont="1" applyFill="1" applyBorder="1" applyAlignment="1" applyProtection="1">
      <alignment vertical="center"/>
      <protection locked="0"/>
    </xf>
    <xf numFmtId="171" fontId="8" fillId="0" borderId="80" xfId="0" applyNumberFormat="1" applyFont="1" applyBorder="1" applyAlignment="1" applyProtection="1">
      <alignment vertical="center"/>
    </xf>
    <xf numFmtId="42" fontId="6" fillId="10" borderId="80" xfId="0" applyNumberFormat="1" applyFont="1" applyFill="1" applyBorder="1" applyAlignment="1" applyProtection="1">
      <alignment vertical="center"/>
    </xf>
    <xf numFmtId="42" fontId="8" fillId="0" borderId="45" xfId="0" applyNumberFormat="1" applyFont="1" applyBorder="1" applyAlignment="1" applyProtection="1">
      <alignment vertical="center"/>
    </xf>
    <xf numFmtId="165" fontId="8" fillId="6" borderId="44" xfId="0" applyNumberFormat="1" applyFont="1" applyFill="1" applyBorder="1" applyAlignment="1" applyProtection="1">
      <alignment vertical="center"/>
      <protection locked="0"/>
    </xf>
    <xf numFmtId="3" fontId="6" fillId="5" borderId="73" xfId="0" applyNumberFormat="1" applyFont="1" applyFill="1" applyBorder="1" applyAlignment="1" applyProtection="1">
      <alignment horizontal="center" vertical="center"/>
    </xf>
    <xf numFmtId="3" fontId="6" fillId="34" borderId="86" xfId="0" applyNumberFormat="1" applyFont="1" applyFill="1" applyBorder="1" applyAlignment="1" applyProtection="1">
      <alignment horizontal="center" vertical="center"/>
    </xf>
    <xf numFmtId="42" fontId="6" fillId="10" borderId="86" xfId="0" applyNumberFormat="1" applyFont="1" applyFill="1" applyBorder="1" applyAlignment="1" applyProtection="1">
      <alignment vertical="center"/>
    </xf>
    <xf numFmtId="42" fontId="8" fillId="0" borderId="73" xfId="0" applyNumberFormat="1" applyFont="1" applyBorder="1" applyAlignment="1" applyProtection="1">
      <alignment vertical="center"/>
    </xf>
    <xf numFmtId="3" fontId="6" fillId="35" borderId="74" xfId="0" applyNumberFormat="1" applyFont="1" applyFill="1" applyBorder="1" applyAlignment="1" applyProtection="1">
      <alignment horizontal="center" vertical="center"/>
    </xf>
    <xf numFmtId="165" fontId="8" fillId="6" borderId="74" xfId="0" applyNumberFormat="1" applyFont="1" applyFill="1" applyBorder="1" applyAlignment="1" applyProtection="1">
      <alignment vertical="center"/>
      <protection locked="0"/>
    </xf>
    <xf numFmtId="42" fontId="6" fillId="10" borderId="89" xfId="0" applyNumberFormat="1" applyFont="1" applyFill="1" applyBorder="1" applyAlignment="1" applyProtection="1">
      <alignment vertical="center"/>
    </xf>
    <xf numFmtId="42" fontId="5" fillId="9" borderId="74" xfId="0" applyNumberFormat="1" applyFont="1" applyFill="1" applyBorder="1" applyAlignment="1" applyProtection="1">
      <alignment vertical="center"/>
    </xf>
    <xf numFmtId="0" fontId="8" fillId="0" borderId="86" xfId="0" applyFont="1" applyBorder="1" applyAlignment="1" applyProtection="1">
      <alignment vertical="center" wrapText="1"/>
    </xf>
    <xf numFmtId="0" fontId="6" fillId="10" borderId="86" xfId="0" applyFont="1" applyFill="1" applyBorder="1" applyAlignment="1" applyProtection="1">
      <alignment wrapText="1"/>
    </xf>
    <xf numFmtId="0" fontId="0" fillId="36" borderId="86" xfId="0" applyFont="1" applyFill="1" applyBorder="1" applyAlignment="1" applyProtection="1">
      <alignment vertical="center"/>
    </xf>
    <xf numFmtId="0" fontId="8" fillId="6" borderId="86" xfId="0" applyFont="1" applyFill="1" applyBorder="1" applyAlignment="1" applyProtection="1">
      <alignment vertical="center"/>
      <protection locked="0"/>
    </xf>
    <xf numFmtId="0" fontId="6" fillId="10" borderId="86" xfId="0" applyFont="1" applyFill="1" applyBorder="1" applyAlignment="1" applyProtection="1">
      <alignment vertical="center"/>
    </xf>
    <xf numFmtId="1" fontId="7" fillId="38" borderId="65" xfId="0" applyNumberFormat="1" applyFont="1" applyFill="1" applyBorder="1" applyAlignment="1" applyProtection="1">
      <alignment horizontal="center" vertical="center"/>
      <protection locked="0"/>
    </xf>
    <xf numFmtId="0" fontId="10" fillId="0" borderId="69" xfId="0" applyFont="1" applyBorder="1" applyAlignment="1" applyProtection="1">
      <alignment vertical="center"/>
    </xf>
    <xf numFmtId="3" fontId="8" fillId="8" borderId="69" xfId="0" applyNumberFormat="1" applyFont="1" applyFill="1" applyBorder="1" applyAlignment="1" applyProtection="1">
      <alignment horizontal="center" vertical="center"/>
    </xf>
    <xf numFmtId="0" fontId="0" fillId="0" borderId="69" xfId="0" applyFont="1" applyBorder="1" applyAlignment="1" applyProtection="1">
      <alignment horizontal="center" vertical="center"/>
    </xf>
    <xf numFmtId="3" fontId="8" fillId="8" borderId="58" xfId="0" applyNumberFormat="1" applyFont="1" applyFill="1" applyBorder="1" applyAlignment="1" applyProtection="1">
      <alignment horizontal="center" vertical="center"/>
    </xf>
    <xf numFmtId="3" fontId="5" fillId="5" borderId="45" xfId="0" applyNumberFormat="1" applyFont="1" applyFill="1" applyBorder="1" applyAlignment="1" applyProtection="1">
      <alignment horizontal="center" vertical="center"/>
    </xf>
    <xf numFmtId="177" fontId="8" fillId="5" borderId="54" xfId="0" applyNumberFormat="1" applyFont="1" applyFill="1" applyBorder="1" applyAlignment="1" applyProtection="1">
      <alignment vertical="center"/>
    </xf>
    <xf numFmtId="164" fontId="8" fillId="6" borderId="36" xfId="0" applyNumberFormat="1" applyFont="1" applyFill="1" applyBorder="1" applyAlignment="1" applyProtection="1">
      <alignment horizontal="center" vertical="center"/>
      <protection locked="0"/>
    </xf>
    <xf numFmtId="164" fontId="8" fillId="6" borderId="53" xfId="0" applyNumberFormat="1" applyFont="1" applyFill="1" applyBorder="1" applyAlignment="1" applyProtection="1">
      <alignment horizontal="center" vertical="center"/>
      <protection locked="0"/>
    </xf>
    <xf numFmtId="0" fontId="8" fillId="52" borderId="1" xfId="0" applyFont="1" applyFill="1" applyBorder="1" applyAlignment="1" applyProtection="1">
      <alignment vertical="center"/>
    </xf>
    <xf numFmtId="0" fontId="8" fillId="45" borderId="69" xfId="0" applyFont="1" applyFill="1" applyBorder="1" applyAlignment="1" applyProtection="1">
      <alignment vertical="center"/>
    </xf>
    <xf numFmtId="165" fontId="7" fillId="5" borderId="53" xfId="0" applyNumberFormat="1" applyFont="1" applyFill="1" applyBorder="1" applyAlignment="1" applyProtection="1">
      <alignment horizontal="center" vertical="center"/>
    </xf>
    <xf numFmtId="0" fontId="13" fillId="0" borderId="76" xfId="0" applyFont="1" applyBorder="1" applyAlignment="1" applyProtection="1">
      <alignment vertical="center"/>
    </xf>
    <xf numFmtId="0" fontId="5" fillId="0" borderId="0" xfId="0" applyFont="1" applyAlignment="1" applyProtection="1">
      <alignment horizontal="center" vertical="center"/>
    </xf>
    <xf numFmtId="0" fontId="5" fillId="0" borderId="76" xfId="0" applyFont="1" applyBorder="1" applyAlignment="1" applyProtection="1">
      <alignment vertical="center"/>
    </xf>
    <xf numFmtId="0" fontId="13" fillId="0" borderId="45" xfId="0" applyFont="1" applyBorder="1" applyAlignment="1" applyProtection="1">
      <alignment vertical="center"/>
    </xf>
    <xf numFmtId="0" fontId="5" fillId="0" borderId="0" xfId="0" applyFont="1" applyAlignment="1" applyProtection="1">
      <alignment horizontal="left" vertical="center"/>
    </xf>
    <xf numFmtId="0" fontId="5" fillId="0" borderId="48" xfId="0" applyFont="1" applyBorder="1" applyAlignment="1" applyProtection="1">
      <alignment vertical="center"/>
    </xf>
    <xf numFmtId="0" fontId="13" fillId="31" borderId="0" xfId="0" applyFont="1" applyFill="1" applyAlignment="1">
      <alignment vertical="center"/>
    </xf>
    <xf numFmtId="164" fontId="8" fillId="10" borderId="91" xfId="0" applyNumberFormat="1" applyFont="1" applyFill="1" applyBorder="1" applyAlignment="1" applyProtection="1">
      <alignment horizontal="center" vertical="center"/>
    </xf>
    <xf numFmtId="0" fontId="6" fillId="53" borderId="1" xfId="0" applyFont="1" applyFill="1" applyBorder="1" applyAlignment="1" applyProtection="1"/>
    <xf numFmtId="0" fontId="8" fillId="37" borderId="45" xfId="0" applyFont="1" applyFill="1" applyBorder="1" applyAlignment="1" applyProtection="1">
      <alignment vertical="center"/>
    </xf>
    <xf numFmtId="3" fontId="16" fillId="10" borderId="32" xfId="0" applyNumberFormat="1" applyFont="1" applyFill="1" applyBorder="1" applyAlignment="1" applyProtection="1">
      <alignment horizontal="left" vertical="center"/>
    </xf>
    <xf numFmtId="0" fontId="8" fillId="10" borderId="69" xfId="0" applyFont="1" applyFill="1" applyBorder="1" applyAlignment="1" applyProtection="1">
      <alignment vertical="center" wrapText="1"/>
    </xf>
    <xf numFmtId="0" fontId="8" fillId="37" borderId="45" xfId="0" applyFont="1" applyFill="1" applyBorder="1" applyAlignment="1" applyProtection="1">
      <alignment horizontal="center" vertical="center"/>
    </xf>
    <xf numFmtId="165" fontId="6" fillId="5" borderId="45" xfId="0" applyNumberFormat="1" applyFont="1" applyFill="1" applyBorder="1" applyAlignment="1" applyProtection="1">
      <alignment horizontal="center" vertical="center"/>
    </xf>
    <xf numFmtId="169" fontId="8" fillId="0" borderId="45" xfId="0" applyNumberFormat="1" applyFont="1" applyBorder="1" applyAlignment="1" applyProtection="1">
      <alignment vertical="center"/>
    </xf>
    <xf numFmtId="169" fontId="14" fillId="5" borderId="45" xfId="0" applyNumberFormat="1" applyFont="1" applyFill="1" applyBorder="1" applyAlignment="1" applyProtection="1">
      <alignment vertical="center" wrapText="1"/>
      <protection hidden="1"/>
    </xf>
    <xf numFmtId="0" fontId="8" fillId="5" borderId="45" xfId="0" applyFont="1" applyFill="1" applyBorder="1" applyAlignment="1" applyProtection="1">
      <alignment vertical="center"/>
    </xf>
    <xf numFmtId="10" fontId="8" fillId="6" borderId="45" xfId="0" applyNumberFormat="1" applyFont="1" applyFill="1" applyBorder="1" applyAlignment="1" applyProtection="1">
      <alignment horizontal="center" vertical="center"/>
      <protection locked="0"/>
    </xf>
    <xf numFmtId="169" fontId="8" fillId="5" borderId="45" xfId="0" applyNumberFormat="1" applyFont="1" applyFill="1" applyBorder="1" applyAlignment="1" applyProtection="1">
      <alignment horizontal="center" vertical="center"/>
    </xf>
    <xf numFmtId="0" fontId="15" fillId="5" borderId="45" xfId="0" applyFont="1" applyFill="1" applyBorder="1" applyAlignment="1" applyProtection="1">
      <alignment vertical="center" wrapText="1"/>
    </xf>
    <xf numFmtId="168" fontId="8" fillId="0" borderId="60" xfId="0" applyNumberFormat="1" applyFont="1" applyBorder="1" applyAlignment="1" applyProtection="1">
      <alignment horizontal="center" vertical="center"/>
    </xf>
    <xf numFmtId="168" fontId="8" fillId="0" borderId="33" xfId="0" applyNumberFormat="1" applyFont="1" applyBorder="1" applyAlignment="1" applyProtection="1">
      <alignment horizontal="center" vertical="center"/>
    </xf>
    <xf numFmtId="168" fontId="8" fillId="0" borderId="87" xfId="0" applyNumberFormat="1" applyFont="1" applyBorder="1" applyAlignment="1" applyProtection="1">
      <alignment horizontal="center" vertical="center"/>
    </xf>
    <xf numFmtId="168" fontId="8" fillId="39" borderId="69" xfId="0" applyNumberFormat="1" applyFont="1" applyFill="1" applyBorder="1" applyAlignment="1" applyProtection="1">
      <alignment horizontal="center" vertical="center"/>
    </xf>
    <xf numFmtId="168" fontId="8" fillId="39" borderId="80" xfId="0" applyNumberFormat="1" applyFont="1" applyFill="1" applyBorder="1" applyAlignment="1" applyProtection="1">
      <alignment horizontal="center" vertical="center"/>
    </xf>
    <xf numFmtId="168" fontId="8" fillId="39" borderId="86" xfId="0" applyNumberFormat="1" applyFont="1" applyFill="1" applyBorder="1" applyAlignment="1" applyProtection="1">
      <alignment horizontal="center" vertical="center"/>
    </xf>
    <xf numFmtId="168" fontId="12" fillId="5" borderId="74" xfId="0" applyNumberFormat="1" applyFont="1" applyFill="1" applyBorder="1" applyAlignment="1" applyProtection="1">
      <alignment horizontal="center" vertical="center"/>
    </xf>
    <xf numFmtId="9" fontId="8" fillId="0" borderId="74" xfId="0" applyNumberFormat="1" applyFont="1" applyBorder="1" applyAlignment="1" applyProtection="1">
      <alignment horizontal="center" vertical="center"/>
    </xf>
    <xf numFmtId="168" fontId="2" fillId="51" borderId="80" xfId="0" applyNumberFormat="1" applyFont="1" applyFill="1" applyBorder="1" applyAlignment="1" applyProtection="1">
      <alignment horizontal="center" vertical="center"/>
    </xf>
    <xf numFmtId="0" fontId="10" fillId="0" borderId="73" xfId="0" applyFont="1" applyBorder="1" applyAlignment="1" applyProtection="1">
      <alignment vertical="center"/>
      <protection hidden="1"/>
    </xf>
    <xf numFmtId="0" fontId="2" fillId="0" borderId="73" xfId="0" applyFont="1" applyBorder="1" applyAlignment="1" applyProtection="1">
      <alignment vertical="center" wrapText="1"/>
      <protection hidden="1"/>
    </xf>
    <xf numFmtId="0" fontId="10" fillId="31" borderId="73" xfId="0" applyFont="1" applyFill="1" applyBorder="1" applyAlignment="1" applyProtection="1">
      <alignment vertical="center"/>
      <protection hidden="1"/>
    </xf>
    <xf numFmtId="168" fontId="8" fillId="0" borderId="74" xfId="0" applyNumberFormat="1" applyFont="1" applyBorder="1" applyAlignment="1" applyProtection="1">
      <alignment wrapText="1"/>
      <protection hidden="1"/>
    </xf>
    <xf numFmtId="168" fontId="6" fillId="0" borderId="74" xfId="0" applyNumberFormat="1" applyFont="1" applyBorder="1" applyAlignment="1" applyProtection="1">
      <alignment wrapText="1"/>
      <protection hidden="1"/>
    </xf>
    <xf numFmtId="9" fontId="8" fillId="0" borderId="74" xfId="0" applyNumberFormat="1" applyFont="1" applyBorder="1" applyAlignment="1" applyProtection="1">
      <alignment vertical="center"/>
      <protection hidden="1"/>
    </xf>
    <xf numFmtId="168" fontId="2" fillId="0" borderId="74" xfId="0" applyNumberFormat="1" applyFont="1" applyBorder="1" applyAlignment="1" applyProtection="1">
      <alignment wrapText="1"/>
      <protection hidden="1"/>
    </xf>
    <xf numFmtId="0" fontId="10" fillId="0" borderId="0" xfId="0" applyFont="1" applyAlignment="1" applyProtection="1">
      <alignment horizontal="left" vertical="center"/>
    </xf>
    <xf numFmtId="0" fontId="2" fillId="0" borderId="83" xfId="0" applyFont="1" applyBorder="1" applyAlignment="1" applyProtection="1">
      <alignment vertical="center"/>
    </xf>
    <xf numFmtId="0" fontId="5" fillId="9" borderId="81" xfId="0" applyFont="1" applyFill="1" applyBorder="1" applyAlignment="1" applyProtection="1">
      <alignment vertical="center"/>
    </xf>
    <xf numFmtId="168" fontId="2" fillId="0" borderId="74" xfId="0" applyNumberFormat="1" applyFont="1" applyBorder="1" applyAlignment="1" applyProtection="1">
      <alignment horizontal="center" vertical="center"/>
    </xf>
    <xf numFmtId="165" fontId="2" fillId="0" borderId="83" xfId="0" applyNumberFormat="1" applyFont="1" applyBorder="1" applyAlignment="1" applyProtection="1">
      <alignment vertical="center"/>
    </xf>
    <xf numFmtId="165" fontId="2" fillId="0" borderId="74" xfId="0" applyNumberFormat="1" applyFont="1" applyBorder="1" applyAlignment="1" applyProtection="1">
      <alignment horizontal="center" vertical="center"/>
    </xf>
    <xf numFmtId="0" fontId="7" fillId="0" borderId="83" xfId="0" applyFont="1" applyBorder="1" applyAlignment="1" applyProtection="1">
      <alignment vertical="center"/>
    </xf>
    <xf numFmtId="0" fontId="5" fillId="9" borderId="83" xfId="0" applyFont="1" applyFill="1" applyBorder="1" applyAlignment="1" applyProtection="1">
      <alignment vertical="center"/>
    </xf>
    <xf numFmtId="0" fontId="0" fillId="57" borderId="0" xfId="0" applyFont="1" applyFill="1" applyAlignment="1" applyProtection="1">
      <alignment horizontal="center"/>
      <protection locked="0"/>
    </xf>
    <xf numFmtId="164" fontId="5" fillId="58" borderId="95" xfId="0" applyNumberFormat="1" applyFont="1" applyFill="1" applyBorder="1" applyAlignment="1" applyProtection="1">
      <alignment horizontal="center" vertical="center"/>
      <protection locked="0"/>
    </xf>
    <xf numFmtId="164" fontId="5" fillId="58" borderId="82" xfId="0" applyNumberFormat="1" applyFont="1" applyFill="1" applyBorder="1" applyAlignment="1" applyProtection="1">
      <alignment horizontal="center" vertical="center"/>
      <protection locked="0"/>
    </xf>
    <xf numFmtId="164" fontId="5" fillId="58" borderId="1" xfId="0" applyNumberFormat="1" applyFont="1" applyFill="1" applyBorder="1" applyAlignment="1" applyProtection="1">
      <alignment horizontal="center" vertical="center"/>
      <protection locked="0"/>
    </xf>
    <xf numFmtId="164" fontId="5" fillId="58" borderId="74" xfId="0" applyNumberFormat="1" applyFont="1" applyFill="1" applyBorder="1" applyAlignment="1" applyProtection="1">
      <alignment horizontal="center" vertical="center"/>
      <protection locked="0"/>
    </xf>
    <xf numFmtId="0" fontId="11" fillId="59" borderId="84" xfId="0" applyFont="1" applyFill="1" applyBorder="1" applyAlignment="1" applyProtection="1">
      <alignment vertical="center"/>
    </xf>
    <xf numFmtId="165" fontId="11" fillId="59" borderId="96" xfId="0" applyNumberFormat="1" applyFont="1" applyFill="1" applyBorder="1" applyAlignment="1" applyProtection="1">
      <alignment horizontal="center" vertical="center"/>
    </xf>
    <xf numFmtId="0" fontId="2" fillId="31" borderId="83" xfId="0" applyFont="1" applyFill="1" applyBorder="1" applyAlignment="1" applyProtection="1">
      <alignment vertical="center"/>
    </xf>
    <xf numFmtId="165" fontId="7" fillId="31" borderId="1" xfId="0" applyNumberFormat="1" applyFont="1" applyFill="1" applyBorder="1" applyAlignment="1" applyProtection="1">
      <alignment horizontal="center" vertical="center"/>
    </xf>
    <xf numFmtId="165" fontId="7" fillId="31" borderId="74" xfId="0" applyNumberFormat="1" applyFont="1" applyFill="1" applyBorder="1" applyAlignment="1" applyProtection="1">
      <alignment horizontal="center" vertical="center"/>
    </xf>
    <xf numFmtId="0" fontId="11" fillId="60" borderId="84" xfId="0" applyFont="1" applyFill="1" applyBorder="1" applyAlignment="1" applyProtection="1">
      <alignment vertical="center"/>
    </xf>
    <xf numFmtId="165" fontId="11" fillId="60" borderId="96" xfId="0" applyNumberFormat="1" applyFont="1" applyFill="1" applyBorder="1" applyAlignment="1" applyProtection="1">
      <alignment horizontal="center" vertical="center"/>
    </xf>
    <xf numFmtId="165" fontId="11" fillId="60" borderId="85" xfId="0" applyNumberFormat="1" applyFont="1" applyFill="1" applyBorder="1" applyAlignment="1" applyProtection="1">
      <alignment horizontal="center" vertical="center"/>
    </xf>
    <xf numFmtId="165" fontId="2" fillId="37" borderId="95" xfId="0" applyNumberFormat="1" applyFont="1" applyFill="1" applyBorder="1" applyAlignment="1" applyProtection="1">
      <alignment horizontal="center" vertical="center"/>
    </xf>
    <xf numFmtId="165" fontId="2" fillId="37" borderId="82" xfId="0" applyNumberFormat="1" applyFont="1" applyFill="1" applyBorder="1" applyAlignment="1" applyProtection="1">
      <alignment horizontal="center" vertical="center"/>
    </xf>
    <xf numFmtId="0" fontId="2" fillId="37" borderId="81"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lignment vertical="center"/>
    </xf>
    <xf numFmtId="0" fontId="51" fillId="0" borderId="45" xfId="11" applyFont="1" applyAlignment="1">
      <alignment horizontal="left"/>
    </xf>
    <xf numFmtId="0" fontId="51" fillId="0" borderId="45" xfId="11" applyFont="1" applyAlignment="1">
      <alignment horizontal="center"/>
    </xf>
    <xf numFmtId="0" fontId="51" fillId="0" borderId="45" xfId="11" applyFont="1"/>
    <xf numFmtId="0" fontId="1" fillId="0" borderId="45" xfId="11"/>
    <xf numFmtId="0" fontId="50" fillId="0" borderId="45" xfId="11" applyFont="1"/>
    <xf numFmtId="0" fontId="58" fillId="41" borderId="104" xfId="11" applyFont="1" applyFill="1" applyBorder="1" applyAlignment="1">
      <alignment vertical="center"/>
    </xf>
    <xf numFmtId="0" fontId="58" fillId="41" borderId="45" xfId="11" applyFont="1" applyFill="1" applyAlignment="1">
      <alignment vertical="center"/>
    </xf>
    <xf numFmtId="6" fontId="58" fillId="41" borderId="45" xfId="11" applyNumberFormat="1" applyFont="1" applyFill="1" applyAlignment="1">
      <alignment horizontal="center"/>
    </xf>
    <xf numFmtId="0" fontId="69" fillId="68" borderId="104" xfId="11" applyFont="1" applyFill="1" applyBorder="1" applyAlignment="1">
      <alignment vertical="center"/>
    </xf>
    <xf numFmtId="0" fontId="69" fillId="68" borderId="45" xfId="11" applyFont="1" applyFill="1" applyAlignment="1">
      <alignment vertical="center"/>
    </xf>
    <xf numFmtId="6" fontId="69" fillId="68" borderId="45" xfId="11" applyNumberFormat="1" applyFont="1" applyFill="1" applyAlignment="1">
      <alignment horizontal="center"/>
    </xf>
    <xf numFmtId="168" fontId="10" fillId="0" borderId="74" xfId="0" applyNumberFormat="1" applyFont="1" applyBorder="1" applyAlignment="1" applyProtection="1">
      <alignment wrapText="1"/>
      <protection hidden="1"/>
    </xf>
    <xf numFmtId="168" fontId="2" fillId="0" borderId="74" xfId="0" applyNumberFormat="1" applyFont="1" applyBorder="1" applyAlignment="1" applyProtection="1">
      <alignment vertical="center"/>
      <protection hidden="1"/>
    </xf>
    <xf numFmtId="0" fontId="57" fillId="61" borderId="100" xfId="12" applyFont="1" applyFill="1" applyBorder="1" applyAlignment="1" applyProtection="1">
      <alignment horizontal="center"/>
    </xf>
    <xf numFmtId="0" fontId="58" fillId="40" borderId="100" xfId="14" applyNumberFormat="1" applyFont="1" applyFill="1" applyBorder="1" applyProtection="1">
      <alignment horizontal="center"/>
    </xf>
    <xf numFmtId="164" fontId="58" fillId="0" borderId="100" xfId="15" applyNumberFormat="1" applyFont="1" applyBorder="1" applyProtection="1"/>
    <xf numFmtId="0" fontId="60" fillId="61" borderId="100" xfId="14" applyNumberFormat="1" applyFont="1" applyFill="1" applyBorder="1" applyProtection="1">
      <alignment horizontal="center"/>
    </xf>
    <xf numFmtId="164" fontId="60" fillId="61" borderId="100" xfId="15" applyNumberFormat="1" applyFont="1" applyFill="1" applyBorder="1" applyProtection="1"/>
    <xf numFmtId="0" fontId="61" fillId="0" borderId="102" xfId="15" applyFont="1" applyBorder="1" applyProtection="1"/>
    <xf numFmtId="0" fontId="61" fillId="0" borderId="103" xfId="15" applyFont="1" applyBorder="1" applyProtection="1"/>
    <xf numFmtId="0" fontId="58" fillId="40" borderId="100" xfId="16" applyNumberFormat="1" applyFont="1" applyFill="1" applyBorder="1" applyProtection="1"/>
    <xf numFmtId="0" fontId="51" fillId="61" borderId="100" xfId="16" applyNumberFormat="1" applyFont="1" applyFill="1" applyBorder="1" applyProtection="1"/>
    <xf numFmtId="164" fontId="57" fillId="61" borderId="100" xfId="15" applyNumberFormat="1" applyFont="1" applyFill="1" applyBorder="1" applyProtection="1"/>
    <xf numFmtId="0" fontId="61" fillId="0" borderId="103" xfId="15" applyFont="1" applyBorder="1" applyAlignment="1" applyProtection="1">
      <alignment horizontal="center"/>
    </xf>
    <xf numFmtId="0" fontId="64" fillId="65" borderId="100" xfId="17" applyFont="1" applyFill="1" applyBorder="1" applyProtection="1">
      <alignment horizontal="right" vertical="center" indent="1"/>
    </xf>
    <xf numFmtId="8" fontId="64" fillId="65" borderId="100" xfId="15" applyNumberFormat="1" applyFont="1" applyFill="1" applyBorder="1" applyProtection="1"/>
    <xf numFmtId="0" fontId="65" fillId="40" borderId="100" xfId="18" applyNumberFormat="1" applyFont="1" applyFill="1" applyBorder="1" applyAlignment="1" applyProtection="1">
      <alignment horizontal="center"/>
    </xf>
    <xf numFmtId="164" fontId="65" fillId="0" borderId="100" xfId="15" applyNumberFormat="1" applyFont="1" applyBorder="1" applyProtection="1"/>
    <xf numFmtId="0" fontId="51" fillId="61" borderId="100" xfId="18" applyNumberFormat="1" applyFont="1" applyFill="1" applyBorder="1" applyAlignment="1" applyProtection="1">
      <alignment horizontal="center"/>
    </xf>
    <xf numFmtId="178" fontId="61" fillId="0" borderId="103" xfId="15" applyNumberFormat="1" applyFont="1" applyBorder="1" applyProtection="1"/>
    <xf numFmtId="0" fontId="57" fillId="65" borderId="100" xfId="17" applyFont="1" applyFill="1" applyBorder="1" applyProtection="1">
      <alignment horizontal="right" vertical="center" indent="1"/>
    </xf>
    <xf numFmtId="8" fontId="57" fillId="65" borderId="100" xfId="15" applyNumberFormat="1" applyFont="1" applyFill="1" applyBorder="1" applyProtection="1"/>
    <xf numFmtId="0" fontId="61" fillId="0" borderId="99" xfId="15" applyFont="1" applyBorder="1" applyProtection="1"/>
    <xf numFmtId="0" fontId="61" fillId="0" borderId="45" xfId="15" applyFont="1" applyProtection="1"/>
    <xf numFmtId="49" fontId="66" fillId="67" borderId="105" xfId="11" applyNumberFormat="1" applyFont="1" applyFill="1" applyBorder="1" applyAlignment="1" applyProtection="1">
      <alignment vertical="center"/>
    </xf>
    <xf numFmtId="49" fontId="66" fillId="67" borderId="106" xfId="11" applyNumberFormat="1" applyFont="1" applyFill="1" applyBorder="1" applyAlignment="1" applyProtection="1">
      <alignment vertical="center"/>
    </xf>
    <xf numFmtId="0" fontId="66" fillId="67" borderId="106" xfId="11" applyFont="1" applyFill="1" applyBorder="1" applyAlignment="1" applyProtection="1">
      <alignment horizontal="center"/>
    </xf>
    <xf numFmtId="0" fontId="58" fillId="67" borderId="104" xfId="11" applyFont="1" applyFill="1" applyBorder="1" applyAlignment="1" applyProtection="1">
      <alignment vertical="center"/>
    </xf>
    <xf numFmtId="0" fontId="58" fillId="67" borderId="45" xfId="11" applyFont="1" applyFill="1" applyAlignment="1" applyProtection="1">
      <alignment vertical="center"/>
    </xf>
    <xf numFmtId="165" fontId="58" fillId="67" borderId="45" xfId="11" applyNumberFormat="1" applyFont="1" applyFill="1" applyAlignment="1" applyProtection="1">
      <alignment horizontal="center"/>
    </xf>
    <xf numFmtId="0" fontId="67" fillId="65" borderId="104" xfId="11" applyFont="1" applyFill="1" applyBorder="1" applyAlignment="1" applyProtection="1">
      <alignment vertical="center"/>
    </xf>
    <xf numFmtId="0" fontId="67" fillId="65" borderId="45" xfId="11" applyFont="1" applyFill="1" applyAlignment="1" applyProtection="1">
      <alignment vertical="center"/>
    </xf>
    <xf numFmtId="165" fontId="67" fillId="65" borderId="45" xfId="11" applyNumberFormat="1" applyFont="1" applyFill="1" applyAlignment="1" applyProtection="1">
      <alignment horizontal="center"/>
    </xf>
    <xf numFmtId="0" fontId="68" fillId="41" borderId="104" xfId="11" applyFont="1" applyFill="1" applyBorder="1" applyAlignment="1" applyProtection="1">
      <alignment vertical="center"/>
    </xf>
    <xf numFmtId="0" fontId="68" fillId="41" borderId="45" xfId="11" applyFont="1" applyFill="1" applyAlignment="1" applyProtection="1">
      <alignment vertical="center"/>
    </xf>
    <xf numFmtId="9" fontId="58" fillId="41" borderId="45" xfId="11" applyNumberFormat="1" applyFont="1" applyFill="1" applyAlignment="1" applyProtection="1">
      <alignment horizontal="center"/>
    </xf>
    <xf numFmtId="0" fontId="58" fillId="41" borderId="45" xfId="11" applyFont="1" applyFill="1" applyAlignment="1" applyProtection="1">
      <alignment horizontal="center"/>
    </xf>
    <xf numFmtId="0" fontId="58" fillId="41" borderId="45" xfId="11" applyFont="1" applyFill="1" applyProtection="1"/>
    <xf numFmtId="0" fontId="66" fillId="41" borderId="105" xfId="11" applyFont="1" applyFill="1" applyBorder="1" applyAlignment="1" applyProtection="1">
      <alignment vertical="center"/>
    </xf>
    <xf numFmtId="0" fontId="66" fillId="41" borderId="106" xfId="11" applyFont="1" applyFill="1" applyBorder="1" applyAlignment="1" applyProtection="1">
      <alignment vertical="center"/>
    </xf>
    <xf numFmtId="0" fontId="66" fillId="41" borderId="106" xfId="11" applyFont="1" applyFill="1" applyBorder="1" applyAlignment="1" applyProtection="1">
      <alignment horizontal="center"/>
    </xf>
    <xf numFmtId="0" fontId="58" fillId="41" borderId="104" xfId="11" applyFont="1" applyFill="1" applyBorder="1" applyAlignment="1" applyProtection="1">
      <alignment vertical="center"/>
    </xf>
    <xf numFmtId="0" fontId="58" fillId="41" borderId="45" xfId="11" applyFont="1" applyFill="1" applyAlignment="1" applyProtection="1">
      <alignment vertical="center"/>
    </xf>
    <xf numFmtId="0" fontId="67" fillId="31" borderId="104" xfId="11" applyFont="1" applyFill="1" applyBorder="1" applyAlignment="1" applyProtection="1">
      <alignment vertical="center"/>
    </xf>
    <xf numFmtId="0" fontId="67" fillId="31" borderId="45" xfId="11" applyFont="1" applyFill="1" applyAlignment="1" applyProtection="1">
      <alignment vertical="center"/>
    </xf>
    <xf numFmtId="6" fontId="67" fillId="31" borderId="45" xfId="11" applyNumberFormat="1" applyFont="1" applyFill="1" applyAlignment="1" applyProtection="1">
      <alignment horizontal="center"/>
    </xf>
    <xf numFmtId="6" fontId="58" fillId="41" borderId="45" xfId="11" applyNumberFormat="1" applyFont="1" applyFill="1" applyAlignment="1" applyProtection="1">
      <alignment horizontal="center"/>
    </xf>
    <xf numFmtId="0" fontId="57" fillId="61" borderId="100" xfId="15" applyFont="1" applyFill="1" applyBorder="1" applyAlignment="1" applyProtection="1">
      <alignment horizontal="center"/>
    </xf>
    <xf numFmtId="0" fontId="2" fillId="0" borderId="0" xfId="0" applyFont="1" applyAlignment="1" applyProtection="1">
      <alignment vertical="center" wrapTex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Alignment="1" applyProtection="1">
      <alignment horizontal="left" vertical="top" wrapText="1"/>
    </xf>
    <xf numFmtId="164" fontId="2" fillId="47" borderId="1" xfId="0" applyNumberFormat="1" applyFont="1" applyFill="1" applyBorder="1" applyAlignment="1" applyProtection="1">
      <alignment horizontal="center" vertical="center"/>
      <protection locked="0"/>
    </xf>
    <xf numFmtId="0" fontId="8" fillId="0" borderId="72" xfId="0" applyFont="1" applyBorder="1" applyAlignment="1" applyProtection="1">
      <alignment vertical="center"/>
    </xf>
    <xf numFmtId="0" fontId="8" fillId="0" borderId="76" xfId="0" applyFont="1" applyBorder="1" applyAlignment="1" applyProtection="1">
      <alignment vertical="center"/>
      <protection hidden="1"/>
    </xf>
    <xf numFmtId="0" fontId="8" fillId="5" borderId="72" xfId="0" applyFont="1" applyFill="1" applyBorder="1" applyAlignment="1" applyProtection="1">
      <alignment vertical="center"/>
    </xf>
    <xf numFmtId="0" fontId="8" fillId="5" borderId="109" xfId="0" applyFont="1" applyFill="1" applyBorder="1" applyAlignment="1" applyProtection="1">
      <alignment vertical="center" wrapText="1"/>
    </xf>
    <xf numFmtId="168" fontId="8" fillId="5" borderId="110" xfId="0" applyNumberFormat="1" applyFont="1" applyFill="1" applyBorder="1" applyAlignment="1" applyProtection="1">
      <alignment horizontal="center" vertical="center"/>
    </xf>
    <xf numFmtId="0" fontId="5" fillId="14" borderId="90" xfId="0" applyFont="1" applyFill="1" applyBorder="1" applyAlignment="1" applyProtection="1">
      <alignment vertical="center"/>
    </xf>
    <xf numFmtId="10" fontId="13" fillId="5" borderId="80" xfId="0" applyNumberFormat="1" applyFont="1" applyFill="1" applyBorder="1" applyAlignment="1" applyProtection="1">
      <alignment horizontal="center" vertical="center" wrapText="1"/>
    </xf>
    <xf numFmtId="0" fontId="6" fillId="14" borderId="90" xfId="0" applyFont="1" applyFill="1" applyBorder="1" applyAlignment="1" applyProtection="1">
      <alignment vertical="center"/>
    </xf>
    <xf numFmtId="165" fontId="6" fillId="5" borderId="80" xfId="0" applyNumberFormat="1" applyFont="1" applyFill="1" applyBorder="1" applyAlignment="1" applyProtection="1">
      <alignment horizontal="center" vertical="center"/>
    </xf>
    <xf numFmtId="0" fontId="8" fillId="0" borderId="109" xfId="0" applyFont="1" applyBorder="1" applyAlignment="1" applyProtection="1">
      <alignment vertical="center"/>
    </xf>
    <xf numFmtId="169" fontId="8" fillId="0" borderId="110" xfId="0" applyNumberFormat="1" applyFont="1" applyBorder="1" applyAlignment="1" applyProtection="1">
      <alignment vertical="center"/>
    </xf>
    <xf numFmtId="0" fontId="13" fillId="5" borderId="32" xfId="0" applyFont="1" applyFill="1" applyBorder="1" applyAlignment="1" applyProtection="1">
      <alignment horizontal="left" vertical="center"/>
    </xf>
    <xf numFmtId="0" fontId="8" fillId="5" borderId="69" xfId="0" applyFont="1" applyFill="1" applyBorder="1" applyAlignment="1" applyProtection="1">
      <alignment vertical="center"/>
    </xf>
    <xf numFmtId="0" fontId="5" fillId="9" borderId="65" xfId="0" applyFont="1" applyFill="1" applyBorder="1" applyAlignment="1" applyProtection="1">
      <alignment horizontal="left" vertical="center" wrapText="1"/>
    </xf>
    <xf numFmtId="0" fontId="5" fillId="9" borderId="44" xfId="0" applyFont="1" applyFill="1" applyBorder="1" applyAlignment="1" applyProtection="1">
      <alignment horizontal="left" vertical="center" wrapText="1"/>
    </xf>
    <xf numFmtId="0" fontId="5" fillId="2" borderId="30" xfId="0" applyFont="1" applyFill="1" applyBorder="1" applyAlignment="1" applyProtection="1">
      <alignment vertical="center"/>
    </xf>
    <xf numFmtId="0" fontId="2" fillId="0" borderId="32" xfId="0" applyFont="1" applyBorder="1" applyAlignment="1" applyProtection="1">
      <alignment vertical="center"/>
    </xf>
    <xf numFmtId="0" fontId="0" fillId="0" borderId="69" xfId="0" applyFont="1" applyBorder="1" applyAlignment="1" applyProtection="1">
      <alignment vertical="center"/>
    </xf>
    <xf numFmtId="3" fontId="0" fillId="29"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13" fillId="31" borderId="45" xfId="0" applyFont="1" applyFill="1" applyBorder="1" applyAlignment="1">
      <alignment vertical="center" wrapText="1"/>
    </xf>
    <xf numFmtId="0" fontId="10" fillId="31" borderId="45" xfId="0" applyFont="1" applyFill="1" applyBorder="1" applyAlignment="1">
      <alignment vertical="center" wrapText="1"/>
    </xf>
    <xf numFmtId="3" fontId="10" fillId="31" borderId="45" xfId="0" applyNumberFormat="1" applyFont="1" applyFill="1" applyBorder="1" applyAlignment="1">
      <alignment horizontal="right" vertical="center" wrapText="1"/>
    </xf>
    <xf numFmtId="0" fontId="10" fillId="31" borderId="45" xfId="0" applyFont="1" applyFill="1" applyBorder="1" applyAlignment="1">
      <alignment horizontal="right" vertical="center" wrapText="1"/>
    </xf>
    <xf numFmtId="0" fontId="11" fillId="18" borderId="65" xfId="0" applyFont="1" applyFill="1" applyBorder="1" applyAlignment="1" applyProtection="1">
      <alignment horizontal="left" vertical="center" wrapText="1"/>
    </xf>
    <xf numFmtId="9" fontId="8" fillId="6" borderId="65" xfId="0" applyNumberFormat="1" applyFont="1" applyFill="1" applyBorder="1" applyAlignment="1" applyProtection="1">
      <alignment horizontal="center" vertical="center"/>
      <protection locked="0"/>
    </xf>
    <xf numFmtId="3" fontId="8" fillId="8" borderId="44" xfId="0" applyNumberFormat="1" applyFont="1" applyFill="1" applyBorder="1" applyAlignment="1" applyProtection="1">
      <alignment horizontal="center" vertical="center"/>
    </xf>
    <xf numFmtId="0" fontId="2" fillId="5" borderId="0" xfId="0" applyFont="1" applyFill="1" applyAlignment="1" applyProtection="1">
      <alignment vertical="top" wrapText="1"/>
    </xf>
    <xf numFmtId="3" fontId="6" fillId="71" borderId="80" xfId="0" applyNumberFormat="1" applyFont="1" applyFill="1" applyBorder="1" applyAlignment="1" applyProtection="1">
      <alignment horizontal="center" vertical="center"/>
    </xf>
    <xf numFmtId="3" fontId="6" fillId="72" borderId="64" xfId="0" applyNumberFormat="1" applyFont="1" applyFill="1" applyBorder="1" applyAlignment="1" applyProtection="1">
      <alignment horizontal="center" vertical="center"/>
    </xf>
    <xf numFmtId="3" fontId="2" fillId="8" borderId="33" xfId="0" applyNumberFormat="1" applyFont="1" applyFill="1" applyBorder="1" applyAlignment="1" applyProtection="1">
      <alignment horizontal="center" vertical="center"/>
    </xf>
    <xf numFmtId="3" fontId="2" fillId="8" borderId="58" xfId="0" applyNumberFormat="1" applyFont="1" applyFill="1" applyBorder="1" applyAlignment="1" applyProtection="1">
      <alignment horizontal="center" vertical="center"/>
    </xf>
    <xf numFmtId="0" fontId="2" fillId="6" borderId="69" xfId="0" applyFont="1" applyFill="1" applyBorder="1" applyAlignment="1" applyProtection="1">
      <alignment vertical="center"/>
      <protection locked="0"/>
    </xf>
    <xf numFmtId="0" fontId="10" fillId="59" borderId="69" xfId="6" applyFont="1" applyFill="1" applyBorder="1" applyAlignment="1" applyProtection="1">
      <alignment vertical="center"/>
    </xf>
    <xf numFmtId="0" fontId="10" fillId="59" borderId="69" xfId="6" applyFont="1" applyFill="1" applyBorder="1" applyAlignment="1" applyProtection="1">
      <alignment horizontal="center" vertical="center" wrapText="1"/>
    </xf>
    <xf numFmtId="0" fontId="10" fillId="75" borderId="69" xfId="6" applyFont="1" applyFill="1" applyBorder="1" applyAlignment="1" applyProtection="1">
      <alignment horizontal="center" vertical="center" wrapText="1"/>
      <protection locked="0"/>
    </xf>
    <xf numFmtId="0" fontId="2" fillId="41" borderId="33" xfId="6" applyFont="1" applyFill="1" applyBorder="1" applyAlignment="1" applyProtection="1">
      <alignment horizontal="center"/>
    </xf>
    <xf numFmtId="165" fontId="2" fillId="41" borderId="33" xfId="6" applyNumberFormat="1" applyFont="1" applyFill="1" applyBorder="1" applyAlignment="1" applyProtection="1">
      <alignment horizontal="center"/>
    </xf>
    <xf numFmtId="0" fontId="8" fillId="29" borderId="69" xfId="0" applyFont="1" applyFill="1" applyBorder="1" applyAlignment="1" applyProtection="1">
      <alignment vertical="center"/>
      <protection locked="0"/>
    </xf>
    <xf numFmtId="164" fontId="8" fillId="29" borderId="69" xfId="0" applyNumberFormat="1" applyFont="1" applyFill="1" applyBorder="1" applyAlignment="1" applyProtection="1">
      <alignment horizontal="center" vertical="center"/>
      <protection locked="0"/>
    </xf>
    <xf numFmtId="164" fontId="8" fillId="29" borderId="44" xfId="0" applyNumberFormat="1" applyFont="1" applyFill="1" applyBorder="1" applyAlignment="1" applyProtection="1">
      <alignment horizontal="center" vertical="center"/>
      <protection locked="0"/>
    </xf>
    <xf numFmtId="164" fontId="8" fillId="29" borderId="4" xfId="0" applyNumberFormat="1" applyFont="1" applyFill="1" applyBorder="1" applyAlignment="1" applyProtection="1">
      <alignment horizontal="center" vertical="center"/>
      <protection locked="0"/>
    </xf>
    <xf numFmtId="164" fontId="8" fillId="29" borderId="79" xfId="0" applyNumberFormat="1" applyFont="1" applyFill="1" applyBorder="1" applyAlignment="1" applyProtection="1">
      <alignment horizontal="center" vertical="center"/>
      <protection locked="0"/>
    </xf>
    <xf numFmtId="42" fontId="8" fillId="31" borderId="0" xfId="0" applyNumberFormat="1" applyFont="1" applyFill="1" applyAlignment="1">
      <alignment vertical="center"/>
    </xf>
    <xf numFmtId="0" fontId="5" fillId="29" borderId="69" xfId="0" applyFont="1" applyFill="1" applyBorder="1" applyAlignment="1" applyProtection="1">
      <alignment vertical="center"/>
      <protection locked="0"/>
    </xf>
    <xf numFmtId="164" fontId="5" fillId="29" borderId="69" xfId="0" applyNumberFormat="1" applyFont="1" applyFill="1" applyBorder="1" applyAlignment="1" applyProtection="1">
      <alignment horizontal="center" vertical="center"/>
      <protection locked="0"/>
    </xf>
    <xf numFmtId="164" fontId="5" fillId="29" borderId="44" xfId="0" applyNumberFormat="1" applyFont="1" applyFill="1" applyBorder="1" applyAlignment="1" applyProtection="1">
      <alignment horizontal="center" vertical="center"/>
      <protection locked="0"/>
    </xf>
    <xf numFmtId="164" fontId="5" fillId="29" borderId="1" xfId="0" applyNumberFormat="1" applyFont="1" applyFill="1" applyBorder="1" applyAlignment="1" applyProtection="1">
      <alignment horizontal="center" vertical="center"/>
      <protection locked="0"/>
    </xf>
    <xf numFmtId="164" fontId="5" fillId="29" borderId="70" xfId="0" applyNumberFormat="1" applyFont="1" applyFill="1" applyBorder="1" applyAlignment="1" applyProtection="1">
      <alignment horizontal="center" vertical="center"/>
      <protection locked="0"/>
    </xf>
    <xf numFmtId="42" fontId="5" fillId="31" borderId="0" xfId="0" applyNumberFormat="1" applyFont="1" applyFill="1" applyAlignment="1">
      <alignment vertical="center"/>
    </xf>
    <xf numFmtId="0" fontId="2" fillId="52" borderId="69" xfId="0" applyFont="1" applyFill="1" applyBorder="1" applyAlignment="1" applyProtection="1">
      <alignment vertical="center" wrapText="1"/>
    </xf>
    <xf numFmtId="0" fontId="5" fillId="76" borderId="69" xfId="0" applyFont="1" applyFill="1" applyBorder="1" applyAlignment="1" applyProtection="1">
      <alignment vertical="center"/>
      <protection locked="0"/>
    </xf>
    <xf numFmtId="0" fontId="8" fillId="76" borderId="69" xfId="0" applyFont="1" applyFill="1" applyBorder="1" applyAlignment="1" applyProtection="1">
      <alignment vertical="center"/>
      <protection locked="0"/>
    </xf>
    <xf numFmtId="164" fontId="8" fillId="76" borderId="69" xfId="0" applyNumberFormat="1" applyFont="1" applyFill="1" applyBorder="1" applyAlignment="1" applyProtection="1">
      <alignment horizontal="center" vertical="center"/>
      <protection locked="0"/>
    </xf>
    <xf numFmtId="0" fontId="6" fillId="77" borderId="33" xfId="0" applyFont="1" applyFill="1" applyBorder="1" applyAlignment="1" applyProtection="1">
      <alignment vertical="center"/>
    </xf>
    <xf numFmtId="164" fontId="8" fillId="77" borderId="60" xfId="0" applyNumberFormat="1" applyFont="1" applyFill="1" applyBorder="1" applyAlignment="1" applyProtection="1">
      <alignment horizontal="center" vertical="center"/>
    </xf>
    <xf numFmtId="168" fontId="8" fillId="78" borderId="44" xfId="0" applyNumberFormat="1" applyFont="1" applyFill="1" applyBorder="1" applyAlignment="1" applyProtection="1">
      <alignment horizontal="center" vertical="center"/>
    </xf>
    <xf numFmtId="168" fontId="8" fillId="78" borderId="1" xfId="0" applyNumberFormat="1" applyFont="1" applyFill="1" applyBorder="1" applyAlignment="1" applyProtection="1">
      <alignment horizontal="center" vertical="center"/>
    </xf>
    <xf numFmtId="168" fontId="8" fillId="78" borderId="74" xfId="0" applyNumberFormat="1" applyFont="1" applyFill="1" applyBorder="1" applyAlignment="1" applyProtection="1">
      <alignment horizontal="center" vertical="center"/>
    </xf>
    <xf numFmtId="168" fontId="13" fillId="77" borderId="74" xfId="0" applyNumberFormat="1" applyFont="1" applyFill="1" applyBorder="1" applyAlignment="1" applyProtection="1">
      <alignment wrapText="1"/>
      <protection hidden="1"/>
    </xf>
    <xf numFmtId="168" fontId="6" fillId="77" borderId="44" xfId="0" applyNumberFormat="1" applyFont="1" applyFill="1" applyBorder="1" applyAlignment="1" applyProtection="1">
      <alignment horizontal="center" vertical="center"/>
    </xf>
    <xf numFmtId="168" fontId="6" fillId="77" borderId="1" xfId="0" applyNumberFormat="1" applyFont="1" applyFill="1" applyBorder="1" applyAlignment="1" applyProtection="1">
      <alignment horizontal="center" vertical="center"/>
    </xf>
    <xf numFmtId="168" fontId="6" fillId="77" borderId="74" xfId="0" applyNumberFormat="1" applyFont="1" applyFill="1" applyBorder="1" applyAlignment="1" applyProtection="1">
      <alignment horizontal="center" vertical="center"/>
    </xf>
    <xf numFmtId="168" fontId="13" fillId="78" borderId="74" xfId="0" applyNumberFormat="1" applyFont="1" applyFill="1" applyBorder="1" applyAlignment="1" applyProtection="1">
      <alignment wrapText="1"/>
      <protection hidden="1"/>
    </xf>
    <xf numFmtId="168" fontId="6" fillId="79" borderId="74" xfId="0" applyNumberFormat="1" applyFont="1" applyFill="1" applyBorder="1" applyAlignment="1" applyProtection="1">
      <alignment wrapText="1"/>
      <protection hidden="1"/>
    </xf>
    <xf numFmtId="168" fontId="8" fillId="79" borderId="44" xfId="0" applyNumberFormat="1" applyFont="1" applyFill="1" applyBorder="1" applyAlignment="1" applyProtection="1">
      <alignment horizontal="center" vertical="center"/>
    </xf>
    <xf numFmtId="168" fontId="8" fillId="79" borderId="1" xfId="0" applyNumberFormat="1" applyFont="1" applyFill="1" applyBorder="1" applyAlignment="1" applyProtection="1">
      <alignment horizontal="center" vertical="center"/>
    </xf>
    <xf numFmtId="168" fontId="8" fillId="79" borderId="74" xfId="0" applyNumberFormat="1" applyFont="1" applyFill="1" applyBorder="1" applyAlignment="1" applyProtection="1">
      <alignment horizontal="center" vertical="center"/>
    </xf>
    <xf numFmtId="165" fontId="2" fillId="5" borderId="0" xfId="0" applyNumberFormat="1" applyFont="1" applyFill="1" applyAlignment="1" applyProtection="1">
      <alignment vertical="top" wrapText="1"/>
    </xf>
    <xf numFmtId="165" fontId="7" fillId="0" borderId="44" xfId="0" applyNumberFormat="1" applyFont="1" applyBorder="1" applyAlignment="1" applyProtection="1">
      <alignment horizontal="center" vertical="center"/>
    </xf>
    <xf numFmtId="177" fontId="8" fillId="0" borderId="45" xfId="0" applyNumberFormat="1" applyFont="1" applyBorder="1" applyAlignment="1" applyProtection="1">
      <alignment vertical="center"/>
    </xf>
    <xf numFmtId="3" fontId="2" fillId="8" borderId="69" xfId="0" applyNumberFormat="1" applyFont="1" applyFill="1" applyBorder="1" applyAlignment="1" applyProtection="1">
      <alignment horizontal="center" vertical="center"/>
    </xf>
    <xf numFmtId="9" fontId="8" fillId="6" borderId="69" xfId="0" applyNumberFormat="1" applyFont="1" applyFill="1" applyBorder="1" applyAlignment="1" applyProtection="1">
      <alignment horizontal="center" vertical="center"/>
      <protection locked="0"/>
    </xf>
    <xf numFmtId="165" fontId="8" fillId="0" borderId="69" xfId="0" applyNumberFormat="1" applyFont="1" applyBorder="1" applyAlignment="1" applyProtection="1">
      <alignment horizontal="center" vertical="center"/>
    </xf>
    <xf numFmtId="0" fontId="10" fillId="73" borderId="90" xfId="0" applyFont="1" applyFill="1" applyBorder="1" applyAlignment="1" applyProtection="1">
      <alignment vertical="center"/>
    </xf>
    <xf numFmtId="0" fontId="10" fillId="73" borderId="78" xfId="0" applyFont="1" applyFill="1" applyBorder="1" applyAlignment="1" applyProtection="1">
      <alignment vertical="center"/>
    </xf>
    <xf numFmtId="0" fontId="10" fillId="73" borderId="80" xfId="0" applyFont="1" applyFill="1" applyBorder="1" applyAlignment="1" applyProtection="1">
      <alignment vertical="center"/>
    </xf>
    <xf numFmtId="177" fontId="2" fillId="73" borderId="69" xfId="0" applyNumberFormat="1" applyFont="1" applyFill="1" applyBorder="1" applyAlignment="1" applyProtection="1">
      <alignment vertical="center"/>
    </xf>
    <xf numFmtId="177" fontId="2" fillId="73" borderId="77" xfId="0" applyNumberFormat="1" applyFont="1" applyFill="1" applyBorder="1" applyAlignment="1" applyProtection="1">
      <alignment vertical="center"/>
    </xf>
    <xf numFmtId="3" fontId="8" fillId="8" borderId="33" xfId="0" applyNumberFormat="1" applyFont="1" applyFill="1" applyBorder="1" applyAlignment="1" applyProtection="1">
      <alignment horizontal="center" vertical="center"/>
    </xf>
    <xf numFmtId="0" fontId="5" fillId="2" borderId="69" xfId="0" applyFont="1" applyFill="1" applyBorder="1" applyAlignment="1" applyProtection="1">
      <alignment horizontal="right" vertical="center" wrapText="1"/>
    </xf>
    <xf numFmtId="165" fontId="48" fillId="31" borderId="69" xfId="5" applyNumberFormat="1" applyFont="1" applyFill="1" applyBorder="1" applyAlignment="1" applyProtection="1">
      <alignment vertical="center"/>
    </xf>
    <xf numFmtId="0" fontId="72" fillId="0" borderId="0" xfId="0" applyFont="1" applyAlignment="1" applyProtection="1">
      <alignment vertical="center"/>
    </xf>
    <xf numFmtId="165" fontId="6" fillId="10" borderId="33" xfId="0" applyNumberFormat="1" applyFont="1" applyFill="1" applyBorder="1" applyAlignment="1" applyProtection="1">
      <alignment horizontal="center" vertical="center"/>
      <protection locked="0"/>
    </xf>
    <xf numFmtId="164" fontId="6" fillId="10" borderId="33" xfId="0" applyNumberFormat="1" applyFont="1" applyFill="1" applyBorder="1" applyAlignment="1" applyProtection="1">
      <alignment horizontal="center" vertical="center"/>
    </xf>
    <xf numFmtId="164" fontId="2" fillId="10" borderId="33" xfId="0" applyNumberFormat="1" applyFont="1" applyFill="1" applyBorder="1" applyAlignment="1" applyProtection="1">
      <alignment horizontal="center" vertical="center"/>
      <protection locked="0"/>
    </xf>
    <xf numFmtId="165" fontId="6" fillId="80" borderId="69" xfId="0" applyNumberFormat="1" applyFont="1" applyFill="1" applyBorder="1" applyAlignment="1" applyProtection="1">
      <alignment vertical="center"/>
    </xf>
    <xf numFmtId="0" fontId="6" fillId="80" borderId="69" xfId="0" applyFont="1" applyFill="1" applyBorder="1" applyAlignment="1" applyProtection="1">
      <alignment vertical="center"/>
    </xf>
    <xf numFmtId="0" fontId="13" fillId="41" borderId="69" xfId="0" applyFont="1" applyFill="1" applyBorder="1" applyAlignment="1" applyProtection="1">
      <alignment vertical="center" wrapText="1"/>
    </xf>
    <xf numFmtId="0" fontId="10" fillId="0" borderId="45" xfId="0" applyFont="1" applyBorder="1" applyAlignment="1" applyProtection="1">
      <alignment vertical="center" wrapText="1"/>
    </xf>
    <xf numFmtId="165" fontId="0" fillId="6" borderId="69" xfId="0" applyNumberFormat="1" applyFont="1" applyFill="1" applyBorder="1" applyAlignment="1" applyProtection="1">
      <alignment horizontal="center" vertical="center"/>
      <protection locked="0"/>
    </xf>
    <xf numFmtId="170" fontId="0" fillId="6" borderId="69" xfId="0" applyNumberFormat="1" applyFont="1" applyFill="1" applyBorder="1" applyAlignment="1" applyProtection="1">
      <alignment horizontal="center" vertical="center"/>
      <protection locked="0"/>
    </xf>
    <xf numFmtId="0" fontId="0" fillId="6" borderId="69" xfId="0" applyFont="1" applyFill="1" applyBorder="1" applyAlignment="1" applyProtection="1">
      <alignment horizontal="center" vertical="center"/>
      <protection locked="0"/>
    </xf>
    <xf numFmtId="0" fontId="5" fillId="10" borderId="69" xfId="0" applyFont="1" applyFill="1" applyBorder="1" applyAlignment="1" applyProtection="1">
      <alignment vertical="center"/>
    </xf>
    <xf numFmtId="165" fontId="10" fillId="10" borderId="69" xfId="0" applyNumberFormat="1" applyFont="1" applyFill="1" applyBorder="1" applyAlignment="1" applyProtection="1">
      <alignment horizontal="center" vertical="center"/>
    </xf>
    <xf numFmtId="170" fontId="6" fillId="29" borderId="45"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right" vertical="center" wrapText="1"/>
    </xf>
    <xf numFmtId="0" fontId="5" fillId="2" borderId="90" xfId="0" applyFont="1" applyFill="1" applyBorder="1" applyAlignment="1" applyProtection="1">
      <alignment horizontal="right" vertical="center" wrapText="1"/>
    </xf>
    <xf numFmtId="3" fontId="6" fillId="6" borderId="69" xfId="0" applyNumberFormat="1" applyFont="1" applyFill="1" applyBorder="1" applyAlignment="1" applyProtection="1">
      <alignment horizontal="center" vertical="center"/>
      <protection locked="0"/>
    </xf>
    <xf numFmtId="165" fontId="6" fillId="5" borderId="69" xfId="0" applyNumberFormat="1" applyFont="1" applyFill="1" applyBorder="1" applyAlignment="1" applyProtection="1">
      <alignment horizontal="center" vertical="center"/>
    </xf>
    <xf numFmtId="170" fontId="6" fillId="6" borderId="69" xfId="0" applyNumberFormat="1" applyFont="1" applyFill="1" applyBorder="1" applyAlignment="1" applyProtection="1">
      <alignment horizontal="center" vertical="center"/>
      <protection locked="0"/>
    </xf>
    <xf numFmtId="0" fontId="17" fillId="38" borderId="1" xfId="0" applyFont="1" applyFill="1" applyBorder="1" applyAlignment="1" applyProtection="1">
      <alignment vertical="center"/>
      <protection locked="0"/>
    </xf>
    <xf numFmtId="0" fontId="23" fillId="38" borderId="1" xfId="0" applyFont="1" applyFill="1" applyBorder="1" applyAlignment="1" applyProtection="1">
      <alignment vertical="center" wrapText="1"/>
      <protection locked="0"/>
    </xf>
    <xf numFmtId="0" fontId="8" fillId="38" borderId="1" xfId="0" applyFont="1" applyFill="1" applyBorder="1" applyAlignment="1" applyProtection="1">
      <alignment vertical="center"/>
      <protection locked="0"/>
    </xf>
    <xf numFmtId="164" fontId="23" fillId="38" borderId="1" xfId="0" applyNumberFormat="1" applyFont="1" applyFill="1" applyBorder="1" applyAlignment="1" applyProtection="1">
      <alignment vertical="center" wrapText="1"/>
      <protection locked="0"/>
    </xf>
    <xf numFmtId="0" fontId="30" fillId="38" borderId="1" xfId="0" applyFont="1" applyFill="1" applyBorder="1" applyAlignment="1" applyProtection="1">
      <alignment vertical="center"/>
      <protection locked="0"/>
    </xf>
    <xf numFmtId="0" fontId="31" fillId="38" borderId="1" xfId="0" applyFont="1" applyFill="1" applyBorder="1" applyAlignment="1" applyProtection="1">
      <alignment vertical="center" wrapText="1"/>
      <protection locked="0"/>
    </xf>
    <xf numFmtId="0" fontId="7" fillId="38" borderId="1" xfId="0" applyFont="1" applyFill="1" applyBorder="1" applyAlignment="1" applyProtection="1">
      <alignment vertical="center"/>
      <protection locked="0"/>
    </xf>
    <xf numFmtId="164" fontId="31" fillId="38" borderId="1" xfId="0" applyNumberFormat="1" applyFont="1" applyFill="1" applyBorder="1" applyAlignment="1" applyProtection="1">
      <alignment vertical="center" wrapText="1"/>
      <protection locked="0"/>
    </xf>
    <xf numFmtId="165" fontId="0" fillId="0" borderId="0" xfId="0" applyNumberFormat="1" applyFont="1" applyAlignment="1">
      <alignment vertical="center"/>
    </xf>
    <xf numFmtId="0" fontId="5" fillId="2" borderId="58" xfId="0" applyFont="1" applyFill="1" applyBorder="1" applyAlignment="1" applyProtection="1">
      <alignment horizontal="right" vertical="center" wrapText="1"/>
    </xf>
    <xf numFmtId="0" fontId="2" fillId="38" borderId="1" xfId="0" applyFont="1" applyFill="1" applyBorder="1" applyAlignment="1" applyProtection="1">
      <alignment vertical="center"/>
      <protection locked="0"/>
    </xf>
    <xf numFmtId="0" fontId="2" fillId="31" borderId="45" xfId="6" applyFont="1" applyFill="1" applyBorder="1" applyAlignment="1" applyProtection="1">
      <alignment horizontal="center"/>
    </xf>
    <xf numFmtId="165" fontId="2" fillId="31" borderId="45" xfId="6" applyNumberFormat="1" applyFont="1" applyFill="1" applyBorder="1" applyAlignment="1" applyProtection="1">
      <alignment horizontal="center"/>
    </xf>
    <xf numFmtId="0" fontId="6" fillId="5" borderId="32" xfId="0" applyFont="1" applyFill="1" applyBorder="1" applyAlignment="1" applyProtection="1">
      <alignment horizontal="center" vertical="center"/>
    </xf>
    <xf numFmtId="0" fontId="73" fillId="45" borderId="107" xfId="0" applyFont="1" applyFill="1" applyBorder="1" applyAlignment="1" applyProtection="1">
      <alignment horizontal="left" vertical="center"/>
    </xf>
    <xf numFmtId="0" fontId="49" fillId="45" borderId="0" xfId="0" applyFont="1" applyFill="1" applyAlignment="1" applyProtection="1">
      <alignment vertical="center"/>
    </xf>
    <xf numFmtId="0" fontId="49" fillId="82" borderId="0" xfId="0" applyFont="1" applyFill="1" applyAlignment="1" applyProtection="1">
      <alignment vertical="center"/>
    </xf>
    <xf numFmtId="0" fontId="8" fillId="45" borderId="45" xfId="0" applyFont="1" applyFill="1" applyBorder="1" applyAlignment="1" applyProtection="1">
      <alignment vertical="center"/>
    </xf>
    <xf numFmtId="0" fontId="0" fillId="45" borderId="0" xfId="0" applyFont="1" applyFill="1" applyAlignment="1" applyProtection="1">
      <alignment horizontal="center" vertical="center"/>
    </xf>
    <xf numFmtId="0" fontId="8" fillId="45" borderId="0" xfId="0" applyFont="1" applyFill="1" applyAlignment="1" applyProtection="1">
      <alignment horizontal="center" vertical="center"/>
    </xf>
    <xf numFmtId="9" fontId="8" fillId="45" borderId="0" xfId="0" applyNumberFormat="1" applyFont="1" applyFill="1" applyAlignment="1" applyProtection="1">
      <alignment horizontal="center" vertical="center"/>
    </xf>
    <xf numFmtId="0" fontId="0" fillId="45" borderId="0" xfId="0" applyFont="1" applyFill="1" applyAlignment="1" applyProtection="1">
      <alignment vertical="center"/>
    </xf>
    <xf numFmtId="0" fontId="7" fillId="45" borderId="0" xfId="0" applyFont="1" applyFill="1" applyAlignment="1" applyProtection="1">
      <alignment vertical="center"/>
    </xf>
    <xf numFmtId="172" fontId="29" fillId="5" borderId="92" xfId="0" applyNumberFormat="1" applyFont="1" applyFill="1" applyBorder="1" applyAlignment="1" applyProtection="1">
      <alignment vertical="top"/>
    </xf>
    <xf numFmtId="0" fontId="0" fillId="31" borderId="93" xfId="0" applyFont="1" applyFill="1" applyBorder="1" applyAlignment="1" applyProtection="1">
      <alignment vertical="center"/>
    </xf>
    <xf numFmtId="0" fontId="13" fillId="29" borderId="94" xfId="0" applyFont="1" applyFill="1" applyBorder="1" applyAlignment="1" applyProtection="1">
      <alignment horizontal="center" vertical="center"/>
      <protection locked="0"/>
    </xf>
    <xf numFmtId="0" fontId="13" fillId="56" borderId="112" xfId="0" applyFont="1" applyFill="1" applyBorder="1" applyAlignment="1" applyProtection="1">
      <alignment horizontal="left" vertical="center"/>
    </xf>
    <xf numFmtId="0" fontId="0" fillId="56" borderId="113" xfId="0" applyFont="1" applyFill="1" applyBorder="1" applyAlignment="1" applyProtection="1">
      <alignment horizontal="center" vertical="center"/>
    </xf>
    <xf numFmtId="0" fontId="13" fillId="47" borderId="114" xfId="0" applyFont="1" applyFill="1" applyBorder="1" applyAlignment="1" applyProtection="1">
      <alignment horizontal="center" vertical="center"/>
      <protection locked="0"/>
    </xf>
    <xf numFmtId="172" fontId="13" fillId="56" borderId="112" xfId="0" applyNumberFormat="1" applyFont="1" applyFill="1" applyBorder="1" applyAlignment="1" applyProtection="1">
      <alignment horizontal="left" vertical="center"/>
    </xf>
    <xf numFmtId="0" fontId="2" fillId="29" borderId="107" xfId="0" applyFont="1" applyFill="1" applyBorder="1" applyAlignment="1" applyProtection="1">
      <alignment vertical="center"/>
      <protection locked="0"/>
    </xf>
    <xf numFmtId="0" fontId="7" fillId="29" borderId="107" xfId="0" applyFont="1" applyFill="1" applyBorder="1" applyAlignment="1" applyProtection="1">
      <alignment vertical="center"/>
      <protection locked="0"/>
    </xf>
    <xf numFmtId="0" fontId="7" fillId="29" borderId="107" xfId="0" applyFont="1" applyFill="1" applyBorder="1" applyAlignment="1" applyProtection="1">
      <alignment horizontal="center" vertical="center"/>
      <protection locked="0"/>
    </xf>
    <xf numFmtId="0" fontId="7" fillId="29" borderId="32" xfId="0" applyFont="1" applyFill="1" applyBorder="1" applyAlignment="1" applyProtection="1">
      <alignment vertical="center"/>
      <protection locked="0"/>
    </xf>
    <xf numFmtId="0" fontId="2" fillId="29" borderId="1" xfId="0" applyFont="1" applyFill="1" applyBorder="1" applyAlignment="1" applyProtection="1">
      <alignment vertical="center"/>
    </xf>
    <xf numFmtId="0" fontId="7" fillId="29" borderId="1" xfId="0" applyFont="1" applyFill="1" applyBorder="1" applyAlignment="1" applyProtection="1">
      <alignment vertical="center"/>
    </xf>
    <xf numFmtId="0" fontId="2" fillId="29" borderId="1" xfId="0" applyFont="1" applyFill="1" applyBorder="1" applyAlignment="1" applyProtection="1">
      <alignment vertical="center" wrapText="1"/>
    </xf>
    <xf numFmtId="0" fontId="2" fillId="29" borderId="32" xfId="0" applyFont="1" applyFill="1" applyBorder="1" applyAlignment="1" applyProtection="1">
      <alignment vertical="center"/>
    </xf>
    <xf numFmtId="0" fontId="7" fillId="29" borderId="32" xfId="0" applyFont="1" applyFill="1" applyBorder="1" applyAlignment="1" applyProtection="1">
      <alignment vertical="center"/>
    </xf>
    <xf numFmtId="0" fontId="5" fillId="5" borderId="0" xfId="0" applyFont="1" applyFill="1" applyAlignment="1" applyProtection="1">
      <alignment vertical="center"/>
    </xf>
    <xf numFmtId="0" fontId="37" fillId="50" borderId="69" xfId="0" applyFont="1" applyFill="1" applyBorder="1" applyAlignment="1" applyProtection="1">
      <alignment vertical="center" wrapText="1"/>
    </xf>
    <xf numFmtId="0" fontId="37" fillId="50" borderId="69" xfId="0" applyFont="1" applyFill="1" applyBorder="1" applyAlignment="1" applyProtection="1">
      <alignment vertical="center"/>
    </xf>
    <xf numFmtId="0" fontId="7" fillId="50" borderId="69" xfId="0" applyFont="1" applyFill="1" applyBorder="1" applyAlignment="1" applyProtection="1">
      <alignment vertical="center"/>
    </xf>
    <xf numFmtId="0" fontId="17" fillId="50" borderId="69" xfId="0" applyFont="1" applyFill="1" applyBorder="1" applyAlignment="1" applyProtection="1">
      <alignment vertical="center"/>
    </xf>
    <xf numFmtId="0" fontId="2" fillId="43" borderId="69" xfId="0" applyFont="1" applyFill="1" applyBorder="1" applyAlignment="1" applyProtection="1">
      <alignment vertical="center"/>
    </xf>
    <xf numFmtId="4" fontId="17" fillId="43" borderId="69" xfId="0" applyNumberFormat="1" applyFont="1" applyFill="1" applyBorder="1" applyAlignment="1" applyProtection="1">
      <alignment horizontal="center" vertical="center"/>
    </xf>
    <xf numFmtId="3" fontId="17" fillId="43" borderId="69" xfId="0" applyNumberFormat="1" applyFont="1" applyFill="1" applyBorder="1" applyAlignment="1" applyProtection="1">
      <alignment vertical="center"/>
    </xf>
    <xf numFmtId="0" fontId="17" fillId="43" borderId="69" xfId="0" applyFont="1" applyFill="1" applyBorder="1" applyAlignment="1" applyProtection="1">
      <alignment horizontal="left" vertical="center"/>
    </xf>
    <xf numFmtId="175" fontId="17" fillId="10" borderId="69" xfId="0" applyNumberFormat="1" applyFont="1" applyFill="1" applyBorder="1" applyAlignment="1" applyProtection="1">
      <alignment horizontal="center" vertical="center" wrapText="1"/>
    </xf>
    <xf numFmtId="4" fontId="17" fillId="10" borderId="69" xfId="0" applyNumberFormat="1" applyFont="1" applyFill="1" applyBorder="1" applyAlignment="1" applyProtection="1">
      <alignment horizontal="center" vertical="center" wrapText="1"/>
    </xf>
    <xf numFmtId="4" fontId="2" fillId="10" borderId="69" xfId="0" applyNumberFormat="1" applyFont="1" applyFill="1" applyBorder="1" applyAlignment="1" applyProtection="1">
      <alignment horizontal="center" vertical="center" wrapText="1"/>
    </xf>
    <xf numFmtId="3" fontId="2" fillId="10" borderId="69" xfId="0" applyNumberFormat="1" applyFont="1" applyFill="1" applyBorder="1" applyAlignment="1" applyProtection="1">
      <alignment horizontal="center" vertical="center" wrapText="1"/>
    </xf>
    <xf numFmtId="3" fontId="17" fillId="10" borderId="69" xfId="0" applyNumberFormat="1" applyFont="1" applyFill="1" applyBorder="1" applyAlignment="1" applyProtection="1">
      <alignment horizontal="center" vertical="center" wrapText="1"/>
    </xf>
    <xf numFmtId="0" fontId="17" fillId="10" borderId="69" xfId="0" applyFont="1" applyFill="1" applyBorder="1" applyAlignment="1" applyProtection="1">
      <alignment vertical="center" wrapText="1"/>
    </xf>
    <xf numFmtId="14" fontId="17" fillId="47" borderId="69" xfId="0" applyNumberFormat="1" applyFont="1" applyFill="1" applyBorder="1" applyAlignment="1" applyProtection="1">
      <alignment horizontal="right" vertical="center"/>
      <protection locked="0"/>
    </xf>
    <xf numFmtId="3" fontId="17" fillId="47" borderId="69" xfId="0" applyNumberFormat="1" applyFont="1" applyFill="1" applyBorder="1" applyAlignment="1" applyProtection="1">
      <alignment horizontal="center" vertical="center" wrapText="1"/>
      <protection locked="0"/>
    </xf>
    <xf numFmtId="3" fontId="17" fillId="29" borderId="69" xfId="0" applyNumberFormat="1" applyFont="1" applyFill="1" applyBorder="1" applyAlignment="1" applyProtection="1">
      <alignment horizontal="center" vertical="center" wrapText="1"/>
    </xf>
    <xf numFmtId="3" fontId="17" fillId="29" borderId="69" xfId="0" applyNumberFormat="1" applyFont="1" applyFill="1" applyBorder="1" applyAlignment="1" applyProtection="1">
      <alignment horizontal="center" vertical="center"/>
    </xf>
    <xf numFmtId="3" fontId="17" fillId="0" borderId="69" xfId="0" applyNumberFormat="1" applyFont="1" applyBorder="1" applyAlignment="1" applyProtection="1">
      <alignment horizontal="center" vertical="center"/>
    </xf>
    <xf numFmtId="4" fontId="17" fillId="0" borderId="69" xfId="0" applyNumberFormat="1" applyFont="1" applyBorder="1" applyAlignment="1" applyProtection="1">
      <alignment horizontal="center" vertical="center"/>
    </xf>
    <xf numFmtId="164" fontId="17" fillId="0" borderId="69" xfId="0" applyNumberFormat="1" applyFont="1" applyBorder="1" applyAlignment="1" applyProtection="1">
      <alignment horizontal="center" vertical="center"/>
    </xf>
    <xf numFmtId="0" fontId="16" fillId="17" borderId="90" xfId="0" applyFont="1" applyFill="1" applyBorder="1" applyAlignment="1" applyProtection="1">
      <alignment vertical="center"/>
    </xf>
    <xf numFmtId="0" fontId="16" fillId="17" borderId="78" xfId="0" applyFont="1" applyFill="1" applyBorder="1" applyAlignment="1" applyProtection="1">
      <alignment vertical="center"/>
    </xf>
    <xf numFmtId="164" fontId="16" fillId="17" borderId="80" xfId="0" applyNumberFormat="1" applyFont="1" applyFill="1" applyBorder="1" applyAlignment="1" applyProtection="1">
      <alignment horizontal="center" vertical="center"/>
    </xf>
    <xf numFmtId="0" fontId="25" fillId="43" borderId="69" xfId="0" applyFont="1" applyFill="1" applyBorder="1" applyAlignment="1" applyProtection="1">
      <alignment vertical="center"/>
    </xf>
    <xf numFmtId="0" fontId="17" fillId="44" borderId="69" xfId="0" applyFont="1" applyFill="1" applyBorder="1" applyAlignment="1" applyProtection="1">
      <alignment vertical="center"/>
    </xf>
    <xf numFmtId="9" fontId="17" fillId="44" borderId="69" xfId="0" applyNumberFormat="1" applyFont="1" applyFill="1" applyBorder="1" applyAlignment="1" applyProtection="1">
      <alignment vertical="center"/>
    </xf>
    <xf numFmtId="0" fontId="17" fillId="0" borderId="69" xfId="0" applyFont="1" applyBorder="1" applyAlignment="1" applyProtection="1">
      <alignment horizontal="center" vertical="center"/>
    </xf>
    <xf numFmtId="0" fontId="17" fillId="0" borderId="69" xfId="0" applyNumberFormat="1" applyFont="1" applyBorder="1" applyAlignment="1" applyProtection="1">
      <alignment horizontal="center" vertical="center"/>
    </xf>
    <xf numFmtId="3" fontId="6" fillId="71"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59" borderId="1" xfId="0" applyFont="1" applyFill="1" applyBorder="1" applyAlignment="1" applyProtection="1">
      <alignment horizontal="center" vertical="center" wrapText="1"/>
    </xf>
    <xf numFmtId="0" fontId="2" fillId="83" borderId="1" xfId="0" applyFont="1" applyFill="1" applyBorder="1" applyAlignment="1" applyProtection="1">
      <alignment horizontal="center" vertical="center" wrapText="1"/>
    </xf>
    <xf numFmtId="0" fontId="2" fillId="83" borderId="1" xfId="0" applyFont="1" applyFill="1" applyBorder="1" applyAlignment="1" applyProtection="1">
      <alignment vertical="center" wrapText="1"/>
    </xf>
    <xf numFmtId="0" fontId="8" fillId="83" borderId="1" xfId="0" applyFont="1" applyFill="1" applyBorder="1" applyAlignment="1" applyProtection="1">
      <alignment vertical="center" wrapText="1"/>
    </xf>
    <xf numFmtId="166" fontId="2" fillId="83" borderId="1" xfId="0" applyNumberFormat="1" applyFont="1" applyFill="1" applyBorder="1" applyAlignment="1" applyProtection="1">
      <alignment vertical="center" wrapText="1"/>
    </xf>
    <xf numFmtId="0" fontId="8" fillId="83" borderId="1" xfId="0" applyFont="1" applyFill="1" applyBorder="1" applyAlignment="1" applyProtection="1">
      <alignment horizontal="center" vertical="center" wrapText="1"/>
    </xf>
    <xf numFmtId="0" fontId="17" fillId="83" borderId="1" xfId="0" applyFont="1" applyFill="1" applyBorder="1" applyAlignment="1" applyProtection="1">
      <alignment horizontal="center" vertical="center" wrapText="1"/>
    </xf>
    <xf numFmtId="164" fontId="21" fillId="7" borderId="1" xfId="1" applyNumberFormat="1" applyFont="1" applyFill="1" applyBorder="1" applyAlignment="1" applyProtection="1">
      <alignment horizontal="center" vertical="center"/>
    </xf>
    <xf numFmtId="0" fontId="2" fillId="10" borderId="33" xfId="0" applyFont="1" applyFill="1" applyBorder="1" applyAlignment="1" applyProtection="1">
      <alignment horizontal="center" vertical="center"/>
    </xf>
    <xf numFmtId="0" fontId="7" fillId="10" borderId="33"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164" fontId="0" fillId="0" borderId="0" xfId="0" applyNumberFormat="1" applyFont="1" applyAlignment="1" applyProtection="1">
      <alignment vertical="center"/>
    </xf>
    <xf numFmtId="3" fontId="6" fillId="82" borderId="1" xfId="0" applyNumberFormat="1" applyFont="1" applyFill="1" applyBorder="1" applyAlignment="1" applyProtection="1">
      <alignment horizontal="center" vertical="center"/>
    </xf>
    <xf numFmtId="3" fontId="6" fillId="82" borderId="57" xfId="0" applyNumberFormat="1" applyFont="1" applyFill="1" applyBorder="1" applyAlignment="1" applyProtection="1">
      <alignment horizontal="center" vertical="center"/>
    </xf>
    <xf numFmtId="3" fontId="6" fillId="82" borderId="59" xfId="0" applyNumberFormat="1" applyFont="1" applyFill="1" applyBorder="1" applyAlignment="1" applyProtection="1">
      <alignment horizontal="center" vertical="center"/>
    </xf>
    <xf numFmtId="0" fontId="62" fillId="0" borderId="0" xfId="0" applyFont="1" applyAlignment="1" applyProtection="1">
      <alignment vertical="center"/>
    </xf>
    <xf numFmtId="0" fontId="19" fillId="0" borderId="20" xfId="0" applyFont="1" applyBorder="1" applyAlignment="1" applyProtection="1">
      <alignment vertical="center"/>
    </xf>
    <xf numFmtId="0" fontId="2" fillId="31" borderId="0" xfId="0" applyFont="1" applyFill="1" applyAlignment="1" applyProtection="1">
      <alignment vertical="center"/>
    </xf>
    <xf numFmtId="0" fontId="2" fillId="31" borderId="0" xfId="0" applyFont="1" applyFill="1" applyAlignment="1" applyProtection="1">
      <alignment vertical="top" wrapText="1"/>
    </xf>
    <xf numFmtId="0" fontId="10" fillId="31" borderId="0" xfId="0" applyFont="1" applyFill="1" applyAlignment="1" applyProtection="1">
      <alignment vertical="center"/>
    </xf>
    <xf numFmtId="3" fontId="6" fillId="71" borderId="69" xfId="0" applyNumberFormat="1" applyFont="1" applyFill="1" applyBorder="1" applyAlignment="1" applyProtection="1">
      <alignment horizontal="center" vertical="center"/>
    </xf>
    <xf numFmtId="0" fontId="2" fillId="0" borderId="0" xfId="0" applyFont="1" applyAlignment="1" applyProtection="1">
      <alignment vertical="top" wrapText="1"/>
    </xf>
    <xf numFmtId="3" fontId="6" fillId="71" borderId="4" xfId="0" applyNumberFormat="1" applyFont="1" applyFill="1" applyBorder="1" applyAlignment="1" applyProtection="1">
      <alignment horizontal="center" vertical="center"/>
    </xf>
    <xf numFmtId="3" fontId="6" fillId="72" borderId="44" xfId="0" applyNumberFormat="1" applyFont="1" applyFill="1" applyBorder="1" applyAlignment="1" applyProtection="1">
      <alignment horizontal="center" vertical="center"/>
    </xf>
    <xf numFmtId="3" fontId="6" fillId="71" borderId="53" xfId="0" applyNumberFormat="1" applyFont="1" applyFill="1" applyBorder="1" applyAlignment="1" applyProtection="1">
      <alignment horizontal="center" vertical="center"/>
    </xf>
    <xf numFmtId="6" fontId="58" fillId="57" borderId="45" xfId="11" applyNumberFormat="1" applyFont="1" applyFill="1" applyAlignment="1" applyProtection="1">
      <alignment horizontal="center"/>
      <protection locked="0"/>
    </xf>
    <xf numFmtId="165" fontId="8" fillId="55" borderId="80" xfId="2" applyNumberFormat="1" applyFont="1" applyFill="1" applyBorder="1" applyAlignment="1" applyProtection="1">
      <alignment horizontal="center" vertical="center"/>
    </xf>
    <xf numFmtId="0" fontId="5" fillId="0" borderId="110" xfId="0" applyFont="1" applyBorder="1" applyAlignment="1" applyProtection="1">
      <alignment vertical="center" wrapText="1"/>
    </xf>
    <xf numFmtId="0" fontId="0" fillId="0" borderId="110" xfId="0" applyFont="1" applyBorder="1" applyAlignment="1" applyProtection="1">
      <alignment vertical="center"/>
    </xf>
    <xf numFmtId="0" fontId="13" fillId="0" borderId="110" xfId="0" applyFont="1" applyBorder="1" applyAlignment="1" applyProtection="1">
      <alignment vertical="center"/>
    </xf>
    <xf numFmtId="0" fontId="0" fillId="70" borderId="69" xfId="0" applyFont="1" applyFill="1" applyBorder="1" applyAlignment="1" applyProtection="1">
      <alignment vertical="center"/>
    </xf>
    <xf numFmtId="0" fontId="0" fillId="74" borderId="69" xfId="0" applyFont="1" applyFill="1" applyBorder="1" applyAlignment="1" applyProtection="1">
      <alignment vertical="center"/>
    </xf>
    <xf numFmtId="0" fontId="0" fillId="69" borderId="69" xfId="0" applyFont="1" applyFill="1" applyBorder="1" applyAlignment="1" applyProtection="1">
      <alignment vertical="center"/>
    </xf>
    <xf numFmtId="0" fontId="11" fillId="0" borderId="110" xfId="0" applyFont="1" applyBorder="1" applyAlignment="1" applyProtection="1">
      <alignment vertical="center" wrapText="1"/>
    </xf>
    <xf numFmtId="165" fontId="6" fillId="54" borderId="69"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43" fillId="5" borderId="45" xfId="0" applyFont="1" applyFill="1" applyBorder="1" applyAlignment="1" applyProtection="1">
      <alignment horizontal="left" vertical="center" wrapText="1"/>
    </xf>
    <xf numFmtId="0" fontId="0" fillId="0" borderId="0" xfId="0" applyFont="1" applyAlignment="1" applyProtection="1">
      <alignment vertical="center"/>
    </xf>
    <xf numFmtId="0" fontId="51" fillId="57" borderId="98" xfId="11" applyFont="1" applyFill="1" applyBorder="1" applyAlignment="1" applyProtection="1">
      <alignment horizontal="center"/>
      <protection locked="0"/>
    </xf>
    <xf numFmtId="0" fontId="51" fillId="57" borderId="45" xfId="11" applyFont="1" applyFill="1" applyAlignment="1" applyProtection="1">
      <alignment horizontal="center"/>
      <protection locked="0"/>
    </xf>
    <xf numFmtId="0" fontId="55" fillId="57" borderId="45" xfId="11" applyFont="1" applyFill="1" applyAlignment="1" applyProtection="1">
      <alignment horizontal="left"/>
      <protection locked="0"/>
    </xf>
    <xf numFmtId="0" fontId="51" fillId="57" borderId="45" xfId="11" applyFont="1" applyFill="1" applyProtection="1">
      <protection locked="0"/>
    </xf>
    <xf numFmtId="0" fontId="1" fillId="57" borderId="99" xfId="11" applyFill="1" applyBorder="1" applyProtection="1">
      <protection locked="0"/>
    </xf>
    <xf numFmtId="0" fontId="1" fillId="57" borderId="45" xfId="11" applyFill="1" applyProtection="1">
      <protection locked="0"/>
    </xf>
    <xf numFmtId="0" fontId="1" fillId="0" borderId="45" xfId="11" applyProtection="1"/>
    <xf numFmtId="0" fontId="2" fillId="10" borderId="69" xfId="0" applyFont="1" applyFill="1" applyBorder="1" applyAlignment="1" applyProtection="1">
      <alignment vertical="center"/>
    </xf>
    <xf numFmtId="165" fontId="11" fillId="10" borderId="32" xfId="0" applyNumberFormat="1" applyFont="1" applyFill="1" applyBorder="1" applyAlignment="1" applyProtection="1">
      <alignment horizontal="center" vertical="center"/>
    </xf>
    <xf numFmtId="170" fontId="8" fillId="10" borderId="69" xfId="0" applyNumberFormat="1" applyFont="1" applyFill="1" applyBorder="1" applyAlignment="1" applyProtection="1">
      <alignment horizontal="center" vertical="center"/>
    </xf>
    <xf numFmtId="165" fontId="8" fillId="10" borderId="69" xfId="0" applyNumberFormat="1" applyFont="1" applyFill="1" applyBorder="1" applyAlignment="1" applyProtection="1">
      <alignment horizontal="center" vertical="center"/>
    </xf>
    <xf numFmtId="0" fontId="0" fillId="0" borderId="0" xfId="0" applyFont="1" applyAlignment="1" applyProtection="1">
      <alignment vertical="center"/>
    </xf>
    <xf numFmtId="0" fontId="2" fillId="0" borderId="0" xfId="0" applyFont="1" applyAlignment="1" applyProtection="1">
      <alignment vertical="center" wrapText="1"/>
    </xf>
    <xf numFmtId="0" fontId="0" fillId="0" borderId="0" xfId="0" applyFont="1" applyAlignment="1">
      <alignment vertical="center"/>
    </xf>
    <xf numFmtId="3" fontId="8" fillId="81" borderId="45" xfId="0" applyNumberFormat="1" applyFont="1" applyFill="1" applyBorder="1" applyAlignment="1" applyProtection="1">
      <alignment vertical="center"/>
    </xf>
    <xf numFmtId="0" fontId="5" fillId="28" borderId="45" xfId="0" applyFont="1" applyFill="1" applyBorder="1" applyAlignment="1" applyProtection="1">
      <alignment horizontal="left" vertical="center" wrapText="1"/>
    </xf>
    <xf numFmtId="0" fontId="10" fillId="5" borderId="65" xfId="0" applyFont="1" applyFill="1" applyBorder="1" applyAlignment="1" applyProtection="1">
      <alignment horizontal="left" vertical="top" wrapText="1"/>
    </xf>
    <xf numFmtId="0" fontId="0" fillId="5" borderId="65" xfId="0" applyFont="1" applyFill="1" applyBorder="1" applyAlignment="1" applyProtection="1">
      <alignment horizontal="left" vertical="top" wrapText="1"/>
    </xf>
    <xf numFmtId="0" fontId="8" fillId="5" borderId="65" xfId="0" applyFont="1" applyFill="1" applyBorder="1" applyAlignment="1" applyProtection="1">
      <alignment horizontal="left" vertical="center" wrapText="1"/>
    </xf>
    <xf numFmtId="0" fontId="2" fillId="5" borderId="65" xfId="0" applyFont="1" applyFill="1" applyBorder="1" applyAlignment="1" applyProtection="1">
      <alignment horizontal="left" vertical="center" wrapText="1"/>
    </xf>
    <xf numFmtId="0" fontId="2" fillId="5" borderId="51" xfId="0" applyFont="1" applyFill="1" applyBorder="1" applyAlignment="1" applyProtection="1">
      <alignment horizontal="left" vertical="center" wrapText="1"/>
    </xf>
    <xf numFmtId="0" fontId="10" fillId="0" borderId="90" xfId="0" applyFont="1" applyBorder="1" applyAlignment="1" applyProtection="1">
      <alignment vertical="center"/>
    </xf>
    <xf numFmtId="0" fontId="10" fillId="0" borderId="90" xfId="0" applyFont="1" applyBorder="1" applyAlignment="1" applyProtection="1">
      <alignment horizontal="left" vertical="top" wrapText="1"/>
    </xf>
    <xf numFmtId="0" fontId="0" fillId="0" borderId="58" xfId="0" applyFont="1" applyBorder="1" applyAlignment="1" applyProtection="1">
      <alignment horizontal="left" vertical="top" wrapText="1"/>
    </xf>
    <xf numFmtId="0" fontId="10" fillId="0" borderId="65" xfId="0" applyFont="1" applyBorder="1" applyAlignment="1" applyProtection="1">
      <alignment horizontal="left" vertical="top" wrapText="1"/>
    </xf>
    <xf numFmtId="0" fontId="2" fillId="10" borderId="65" xfId="0" applyFont="1" applyFill="1" applyBorder="1" applyAlignment="1" applyProtection="1">
      <alignment vertical="center"/>
    </xf>
    <xf numFmtId="0" fontId="0" fillId="0" borderId="65" xfId="0" applyFont="1" applyBorder="1" applyAlignment="1" applyProtection="1">
      <alignment horizontal="left" vertical="top" wrapText="1"/>
    </xf>
    <xf numFmtId="0" fontId="10" fillId="18" borderId="65" xfId="0" applyFont="1" applyFill="1" applyBorder="1" applyAlignment="1" applyProtection="1">
      <alignment horizontal="left" vertical="top" wrapText="1"/>
    </xf>
    <xf numFmtId="0" fontId="0" fillId="19" borderId="65" xfId="0" applyFont="1" applyFill="1" applyBorder="1" applyAlignment="1" applyProtection="1">
      <alignment horizontal="left" vertical="top" wrapText="1"/>
    </xf>
    <xf numFmtId="2" fontId="0" fillId="6" borderId="69" xfId="0" applyNumberFormat="1" applyFont="1" applyFill="1" applyBorder="1" applyAlignment="1" applyProtection="1">
      <alignment horizontal="center" vertical="center"/>
      <protection locked="0"/>
    </xf>
    <xf numFmtId="2" fontId="0" fillId="0" borderId="69" xfId="0" applyNumberFormat="1" applyFont="1" applyBorder="1" applyAlignment="1" applyProtection="1">
      <alignment horizontal="center" vertical="center"/>
    </xf>
    <xf numFmtId="0" fontId="5" fillId="85" borderId="69" xfId="0" applyFont="1" applyFill="1" applyBorder="1" applyAlignment="1" applyProtection="1">
      <alignment horizontal="center" vertical="center" wrapText="1"/>
    </xf>
    <xf numFmtId="0" fontId="23" fillId="5" borderId="45" xfId="0" applyFont="1" applyFill="1" applyBorder="1" applyAlignment="1" applyProtection="1">
      <alignment vertical="center"/>
    </xf>
    <xf numFmtId="0" fontId="2" fillId="5" borderId="0" xfId="0" applyFont="1" applyFill="1" applyAlignment="1" applyProtection="1">
      <alignment vertical="center"/>
    </xf>
    <xf numFmtId="0" fontId="74" fillId="5" borderId="45" xfId="0" applyFont="1" applyFill="1" applyBorder="1" applyAlignment="1" applyProtection="1">
      <alignment horizontal="left" vertical="center"/>
    </xf>
    <xf numFmtId="0" fontId="74" fillId="0" borderId="0" xfId="0" applyFont="1" applyAlignment="1" applyProtection="1">
      <alignment vertical="center"/>
    </xf>
    <xf numFmtId="0" fontId="5" fillId="28" borderId="1" xfId="0" applyFont="1" applyFill="1" applyBorder="1" applyAlignment="1" applyProtection="1">
      <alignment vertical="center"/>
    </xf>
    <xf numFmtId="0" fontId="43" fillId="54" borderId="69" xfId="0" applyFont="1" applyFill="1" applyBorder="1" applyAlignment="1" applyProtection="1">
      <alignment horizontal="center" vertical="center" wrapText="1"/>
      <protection locked="0"/>
    </xf>
    <xf numFmtId="0" fontId="11" fillId="6" borderId="65" xfId="0" applyFont="1" applyFill="1" applyBorder="1" applyAlignment="1" applyProtection="1">
      <alignment horizontal="center" vertical="center"/>
      <protection locked="0"/>
    </xf>
    <xf numFmtId="4" fontId="0" fillId="6" borderId="65" xfId="0" applyNumberFormat="1" applyFont="1" applyFill="1" applyBorder="1" applyAlignment="1" applyProtection="1">
      <alignment horizontal="center" vertical="center"/>
      <protection locked="0"/>
    </xf>
    <xf numFmtId="3" fontId="0" fillId="0" borderId="65" xfId="0" applyNumberFormat="1" applyFont="1" applyBorder="1" applyAlignment="1" applyProtection="1">
      <alignment horizontal="center" vertical="center"/>
    </xf>
    <xf numFmtId="172" fontId="13" fillId="29" borderId="58" xfId="0" applyNumberFormat="1" applyFont="1" applyFill="1" applyBorder="1" applyAlignment="1" applyProtection="1">
      <alignment horizontal="center" vertical="center"/>
      <protection locked="0"/>
    </xf>
    <xf numFmtId="172" fontId="0" fillId="6" borderId="65" xfId="0" applyNumberFormat="1" applyFont="1" applyFill="1" applyBorder="1" applyAlignment="1" applyProtection="1">
      <alignment horizontal="center" vertical="center"/>
      <protection locked="0"/>
    </xf>
    <xf numFmtId="172" fontId="0" fillId="0" borderId="65" xfId="0" applyNumberFormat="1" applyFont="1" applyBorder="1" applyAlignment="1" applyProtection="1">
      <alignment horizontal="center" vertical="center"/>
    </xf>
    <xf numFmtId="9" fontId="0" fillId="6" borderId="65" xfId="0" applyNumberFormat="1" applyFont="1" applyFill="1" applyBorder="1" applyAlignment="1" applyProtection="1">
      <alignment horizontal="center" vertical="center"/>
      <protection locked="0"/>
    </xf>
    <xf numFmtId="3" fontId="13" fillId="0" borderId="65" xfId="0" applyNumberFormat="1" applyFont="1" applyBorder="1" applyAlignment="1" applyProtection="1">
      <alignment horizontal="center" vertical="center"/>
    </xf>
    <xf numFmtId="3" fontId="8" fillId="0" borderId="65" xfId="2" applyNumberFormat="1" applyFont="1" applyBorder="1" applyAlignment="1" applyProtection="1">
      <alignment horizontal="center" vertical="center"/>
    </xf>
    <xf numFmtId="164" fontId="13" fillId="6" borderId="65" xfId="0" applyNumberFormat="1" applyFont="1" applyFill="1" applyBorder="1" applyAlignment="1" applyProtection="1">
      <alignment horizontal="center" vertical="center"/>
      <protection locked="0"/>
    </xf>
    <xf numFmtId="6" fontId="6" fillId="17" borderId="65" xfId="0" applyNumberFormat="1" applyFont="1" applyFill="1" applyBorder="1" applyAlignment="1" applyProtection="1">
      <alignment horizontal="center" vertical="center"/>
    </xf>
    <xf numFmtId="164" fontId="8" fillId="0" borderId="65" xfId="0" applyNumberFormat="1" applyFont="1" applyBorder="1" applyAlignment="1" applyProtection="1">
      <alignment horizontal="center" vertical="center"/>
    </xf>
    <xf numFmtId="9" fontId="8" fillId="0" borderId="65" xfId="0" applyNumberFormat="1" applyFont="1" applyBorder="1" applyAlignment="1" applyProtection="1">
      <alignment horizontal="center" vertical="center"/>
    </xf>
    <xf numFmtId="8" fontId="8" fillId="0" borderId="65" xfId="0" applyNumberFormat="1" applyFont="1" applyBorder="1" applyAlignment="1" applyProtection="1">
      <alignment horizontal="center" vertical="center"/>
    </xf>
    <xf numFmtId="3" fontId="0" fillId="29" borderId="69" xfId="0" applyNumberFormat="1" applyFont="1" applyFill="1" applyBorder="1" applyAlignment="1" applyProtection="1">
      <alignment horizontal="center" vertical="center"/>
      <protection locked="0"/>
    </xf>
    <xf numFmtId="3" fontId="0" fillId="31" borderId="69" xfId="0" applyNumberFormat="1" applyFont="1" applyFill="1" applyBorder="1" applyAlignment="1" applyProtection="1">
      <alignment horizontal="center" vertical="center"/>
    </xf>
    <xf numFmtId="3" fontId="6" fillId="37" borderId="69" xfId="0" applyNumberFormat="1" applyFont="1" applyFill="1" applyBorder="1" applyAlignment="1" applyProtection="1">
      <alignment horizontal="center" vertical="center"/>
    </xf>
    <xf numFmtId="0" fontId="0" fillId="31" borderId="69" xfId="0" applyFont="1" applyFill="1" applyBorder="1" applyAlignment="1" applyProtection="1">
      <alignment horizontal="center" vertical="center"/>
    </xf>
    <xf numFmtId="172" fontId="0" fillId="31" borderId="69" xfId="0" applyNumberFormat="1" applyFont="1" applyFill="1" applyBorder="1" applyAlignment="1" applyProtection="1">
      <alignment horizontal="center" vertical="center"/>
    </xf>
    <xf numFmtId="3" fontId="13" fillId="31" borderId="69" xfId="0" applyNumberFormat="1" applyFont="1" applyFill="1" applyBorder="1" applyAlignment="1" applyProtection="1">
      <alignment horizontal="center" vertical="center"/>
    </xf>
    <xf numFmtId="3" fontId="8" fillId="31" borderId="69" xfId="2" applyNumberFormat="1" applyFont="1" applyFill="1" applyBorder="1" applyAlignment="1" applyProtection="1">
      <alignment horizontal="center" vertical="center"/>
    </xf>
    <xf numFmtId="6" fontId="6" fillId="49" borderId="69" xfId="0" applyNumberFormat="1" applyFont="1" applyFill="1" applyBorder="1" applyAlignment="1" applyProtection="1">
      <alignment horizontal="center" vertical="center"/>
    </xf>
    <xf numFmtId="9" fontId="8" fillId="31" borderId="69" xfId="0" applyNumberFormat="1" applyFont="1" applyFill="1" applyBorder="1" applyAlignment="1" applyProtection="1">
      <alignment horizontal="center" vertical="center"/>
    </xf>
    <xf numFmtId="0" fontId="10" fillId="0" borderId="32" xfId="0" applyFont="1" applyBorder="1" applyAlignment="1" applyProtection="1">
      <alignment horizontal="left" vertical="center"/>
    </xf>
    <xf numFmtId="3" fontId="0" fillId="6" borderId="51" xfId="0" applyNumberFormat="1" applyFont="1" applyFill="1" applyBorder="1" applyAlignment="1" applyProtection="1">
      <alignment horizontal="center" vertical="center"/>
      <protection locked="0"/>
    </xf>
    <xf numFmtId="0" fontId="5" fillId="42" borderId="34" xfId="0" applyFont="1" applyFill="1" applyBorder="1" applyAlignment="1" applyProtection="1">
      <alignment vertical="center"/>
    </xf>
    <xf numFmtId="3" fontId="6" fillId="42" borderId="54" xfId="0" applyNumberFormat="1" applyFont="1" applyFill="1" applyBorder="1" applyAlignment="1" applyProtection="1">
      <alignment horizontal="center" vertical="center"/>
    </xf>
    <xf numFmtId="4" fontId="0" fillId="0" borderId="65" xfId="0" applyNumberFormat="1" applyFont="1" applyBorder="1" applyAlignment="1" applyProtection="1">
      <alignment horizontal="center" vertical="center"/>
    </xf>
    <xf numFmtId="0" fontId="5" fillId="0" borderId="33" xfId="0" applyFont="1" applyBorder="1" applyAlignment="1" applyProtection="1">
      <alignment vertical="center"/>
    </xf>
    <xf numFmtId="4" fontId="0" fillId="6" borderId="51" xfId="0" applyNumberFormat="1" applyFont="1" applyFill="1" applyBorder="1" applyAlignment="1" applyProtection="1">
      <alignment horizontal="center" vertical="center"/>
      <protection locked="0"/>
    </xf>
    <xf numFmtId="3" fontId="0" fillId="29" borderId="65" xfId="0" applyNumberFormat="1" applyFont="1" applyFill="1" applyBorder="1" applyAlignment="1" applyProtection="1">
      <alignment horizontal="center" vertical="center"/>
      <protection locked="0"/>
    </xf>
    <xf numFmtId="172" fontId="0" fillId="29" borderId="65" xfId="0" applyNumberFormat="1" applyFont="1" applyFill="1" applyBorder="1" applyAlignment="1" applyProtection="1">
      <alignment horizontal="center" vertical="center"/>
      <protection locked="0"/>
    </xf>
    <xf numFmtId="0" fontId="0" fillId="0" borderId="90" xfId="0" applyFont="1" applyBorder="1" applyAlignment="1" applyProtection="1">
      <alignment horizontal="center" vertical="center"/>
    </xf>
    <xf numFmtId="0" fontId="0" fillId="57" borderId="90" xfId="0" applyFont="1" applyFill="1" applyBorder="1" applyAlignment="1" applyProtection="1">
      <alignment horizontal="center" vertical="center"/>
      <protection locked="0"/>
    </xf>
    <xf numFmtId="3" fontId="0" fillId="6" borderId="65" xfId="0" applyNumberFormat="1" applyFont="1" applyFill="1" applyBorder="1" applyAlignment="1" applyProtection="1">
      <alignment horizontal="center" vertical="center"/>
      <protection locked="0"/>
    </xf>
    <xf numFmtId="3" fontId="0" fillId="5" borderId="65" xfId="0" applyNumberFormat="1" applyFont="1" applyFill="1" applyBorder="1" applyAlignment="1" applyProtection="1">
      <alignment horizontal="center" vertical="center"/>
    </xf>
    <xf numFmtId="172" fontId="13" fillId="5" borderId="65" xfId="0" applyNumberFormat="1" applyFont="1" applyFill="1" applyBorder="1" applyAlignment="1" applyProtection="1">
      <alignment horizontal="center" vertical="center"/>
    </xf>
    <xf numFmtId="172" fontId="6" fillId="5" borderId="65" xfId="0" applyNumberFormat="1" applyFont="1" applyFill="1" applyBorder="1" applyAlignment="1" applyProtection="1">
      <alignment horizontal="center" vertical="center"/>
    </xf>
    <xf numFmtId="172" fontId="8" fillId="6" borderId="65" xfId="0" applyNumberFormat="1" applyFont="1" applyFill="1" applyBorder="1" applyAlignment="1" applyProtection="1">
      <alignment horizontal="center" vertical="center"/>
      <protection locked="0"/>
    </xf>
    <xf numFmtId="3" fontId="13" fillId="5" borderId="51" xfId="0" applyNumberFormat="1" applyFont="1" applyFill="1" applyBorder="1" applyAlignment="1" applyProtection="1">
      <alignment horizontal="center" vertical="center"/>
    </xf>
    <xf numFmtId="1" fontId="8" fillId="5" borderId="90" xfId="0" applyNumberFormat="1" applyFont="1" applyFill="1" applyBorder="1" applyAlignment="1" applyProtection="1">
      <alignment horizontal="center" vertical="center"/>
    </xf>
    <xf numFmtId="3" fontId="0" fillId="45" borderId="69" xfId="0" applyNumberFormat="1" applyFont="1" applyFill="1" applyBorder="1" applyAlignment="1" applyProtection="1">
      <alignment horizontal="center" vertical="center"/>
    </xf>
    <xf numFmtId="172" fontId="13" fillId="45" borderId="69" xfId="0" applyNumberFormat="1" applyFont="1" applyFill="1" applyBorder="1" applyAlignment="1" applyProtection="1">
      <alignment horizontal="center" vertical="center"/>
    </xf>
    <xf numFmtId="172" fontId="6" fillId="45" borderId="69" xfId="0" applyNumberFormat="1" applyFont="1" applyFill="1" applyBorder="1" applyAlignment="1" applyProtection="1">
      <alignment horizontal="center" vertical="center"/>
    </xf>
    <xf numFmtId="3" fontId="13" fillId="45" borderId="69" xfId="0" applyNumberFormat="1" applyFont="1" applyFill="1" applyBorder="1" applyAlignment="1" applyProtection="1">
      <alignment horizontal="center" vertical="center"/>
    </xf>
    <xf numFmtId="1" fontId="8" fillId="45" borderId="69" xfId="0" applyNumberFormat="1" applyFont="1" applyFill="1" applyBorder="1" applyAlignment="1" applyProtection="1">
      <alignment horizontal="center" vertical="center"/>
    </xf>
    <xf numFmtId="0" fontId="10" fillId="56" borderId="69" xfId="0" applyFont="1" applyFill="1" applyBorder="1" applyAlignment="1" applyProtection="1">
      <alignment horizontal="left" vertical="center" wrapText="1"/>
    </xf>
    <xf numFmtId="2" fontId="0" fillId="0" borderId="90" xfId="0" applyNumberFormat="1" applyFont="1" applyBorder="1" applyAlignment="1" applyProtection="1">
      <alignment horizontal="center" vertical="center"/>
    </xf>
    <xf numFmtId="166" fontId="8" fillId="0" borderId="69" xfId="0" applyNumberFormat="1" applyFont="1" applyFill="1" applyBorder="1" applyAlignment="1" applyProtection="1">
      <alignment horizontal="center" vertical="center"/>
    </xf>
    <xf numFmtId="166" fontId="0" fillId="0" borderId="69" xfId="0" applyNumberFormat="1" applyFont="1" applyFill="1" applyBorder="1" applyAlignment="1" applyProtection="1">
      <alignment horizontal="center" vertical="center"/>
    </xf>
    <xf numFmtId="2" fontId="0" fillId="0" borderId="69" xfId="0" applyNumberFormat="1" applyFont="1" applyFill="1" applyBorder="1" applyAlignment="1" applyProtection="1">
      <alignment horizontal="center" vertical="center"/>
    </xf>
    <xf numFmtId="2" fontId="8" fillId="6" borderId="69" xfId="0" applyNumberFormat="1" applyFont="1" applyFill="1" applyBorder="1" applyAlignment="1" applyProtection="1">
      <alignment horizontal="center" vertical="center"/>
      <protection locked="0"/>
    </xf>
    <xf numFmtId="2" fontId="8" fillId="0" borderId="69" xfId="0" applyNumberFormat="1" applyFont="1" applyBorder="1" applyAlignment="1" applyProtection="1">
      <alignment horizontal="center" vertical="center"/>
    </xf>
    <xf numFmtId="2" fontId="0" fillId="18" borderId="69" xfId="0" applyNumberFormat="1" applyFont="1" applyFill="1" applyBorder="1" applyAlignment="1" applyProtection="1">
      <alignment horizontal="center" vertical="center" wrapText="1"/>
    </xf>
    <xf numFmtId="2" fontId="0" fillId="15" borderId="69" xfId="0" applyNumberFormat="1" applyFont="1" applyFill="1" applyBorder="1" applyAlignment="1" applyProtection="1">
      <alignment horizontal="center" vertical="center"/>
    </xf>
    <xf numFmtId="2" fontId="0" fillId="5" borderId="69" xfId="0" applyNumberFormat="1" applyFont="1" applyFill="1" applyBorder="1" applyAlignment="1" applyProtection="1">
      <alignment horizontal="center" vertical="center"/>
    </xf>
    <xf numFmtId="2" fontId="0" fillId="18" borderId="69" xfId="0" applyNumberFormat="1" applyFont="1" applyFill="1" applyBorder="1" applyAlignment="1" applyProtection="1">
      <alignment horizontal="center" vertical="center"/>
    </xf>
    <xf numFmtId="179" fontId="13" fillId="6" borderId="69" xfId="0" applyNumberFormat="1" applyFont="1" applyFill="1" applyBorder="1" applyAlignment="1" applyProtection="1">
      <alignment horizontal="center" vertical="center"/>
      <protection locked="0"/>
    </xf>
    <xf numFmtId="0" fontId="8" fillId="0" borderId="65" xfId="0" applyFont="1" applyBorder="1" applyAlignment="1" applyProtection="1">
      <alignment vertical="center"/>
    </xf>
    <xf numFmtId="0" fontId="2" fillId="0" borderId="65" xfId="0" applyFont="1" applyBorder="1" applyAlignment="1" applyProtection="1">
      <alignment vertical="center"/>
    </xf>
    <xf numFmtId="180" fontId="0" fillId="6" borderId="69" xfId="0" applyNumberFormat="1" applyFont="1" applyFill="1" applyBorder="1" applyAlignment="1" applyProtection="1">
      <alignment horizontal="center" vertical="center"/>
      <protection locked="0"/>
    </xf>
    <xf numFmtId="1" fontId="0" fillId="19" borderId="69" xfId="0" applyNumberFormat="1" applyFont="1" applyFill="1" applyBorder="1" applyAlignment="1" applyProtection="1">
      <alignment horizontal="center" vertical="center"/>
    </xf>
    <xf numFmtId="0" fontId="5" fillId="0" borderId="69" xfId="0" applyFont="1" applyFill="1" applyBorder="1" applyAlignment="1" applyProtection="1">
      <alignment horizontal="center" vertical="center" wrapText="1"/>
    </xf>
    <xf numFmtId="4" fontId="0" fillId="0" borderId="90" xfId="0" applyNumberFormat="1" applyFont="1" applyBorder="1" applyAlignment="1" applyProtection="1">
      <alignment horizontal="center" vertical="center"/>
    </xf>
    <xf numFmtId="1" fontId="6" fillId="53" borderId="1" xfId="0" applyNumberFormat="1" applyFont="1" applyFill="1" applyBorder="1" applyAlignment="1" applyProtection="1">
      <alignment horizontal="center"/>
    </xf>
    <xf numFmtId="2" fontId="7" fillId="0" borderId="1" xfId="0" applyNumberFormat="1" applyFont="1" applyBorder="1" applyAlignment="1" applyProtection="1">
      <alignment horizontal="center" vertical="center"/>
      <protection hidden="1"/>
    </xf>
    <xf numFmtId="166" fontId="2" fillId="0" borderId="1" xfId="0" applyNumberFormat="1" applyFont="1" applyBorder="1" applyAlignment="1" applyProtection="1">
      <alignment horizontal="center" vertical="center" wrapText="1"/>
      <protection hidden="1"/>
    </xf>
    <xf numFmtId="0" fontId="16" fillId="5" borderId="69" xfId="0" applyFont="1" applyFill="1" applyBorder="1" applyAlignment="1" applyProtection="1">
      <alignment vertical="center"/>
    </xf>
    <xf numFmtId="0" fontId="17" fillId="5" borderId="69" xfId="0" applyFont="1" applyFill="1" applyBorder="1" applyAlignment="1" applyProtection="1">
      <alignment vertical="center"/>
    </xf>
    <xf numFmtId="0" fontId="5" fillId="0" borderId="65" xfId="0" applyFont="1" applyBorder="1" applyAlignment="1" applyProtection="1">
      <alignment vertical="center"/>
    </xf>
    <xf numFmtId="0" fontId="5" fillId="59" borderId="65" xfId="0" applyFont="1" applyFill="1" applyBorder="1" applyAlignment="1" applyProtection="1">
      <alignment vertical="center"/>
    </xf>
    <xf numFmtId="0" fontId="17" fillId="0" borderId="65" xfId="0" applyFont="1" applyBorder="1" applyAlignment="1" applyProtection="1">
      <alignment vertical="center"/>
    </xf>
    <xf numFmtId="164" fontId="6" fillId="59" borderId="65" xfId="0" applyNumberFormat="1" applyFont="1" applyFill="1" applyBorder="1" applyAlignment="1" applyProtection="1">
      <alignment vertical="center"/>
    </xf>
    <xf numFmtId="0" fontId="5" fillId="8" borderId="51" xfId="0" applyFont="1" applyFill="1" applyBorder="1" applyAlignment="1" applyProtection="1">
      <alignment horizontal="center" vertical="center" wrapText="1"/>
    </xf>
    <xf numFmtId="166" fontId="17" fillId="5" borderId="69" xfId="0" applyNumberFormat="1" applyFont="1" applyFill="1" applyBorder="1" applyAlignment="1" applyProtection="1">
      <alignment horizontal="center" vertical="center"/>
    </xf>
    <xf numFmtId="0" fontId="17" fillId="0" borderId="69" xfId="0" applyFont="1" applyBorder="1" applyAlignment="1" applyProtection="1">
      <alignment vertical="center"/>
    </xf>
    <xf numFmtId="1" fontId="17" fillId="29" borderId="69" xfId="0" applyNumberFormat="1" applyFont="1" applyFill="1" applyBorder="1" applyAlignment="1" applyProtection="1">
      <alignment horizontal="center" vertical="center"/>
    </xf>
    <xf numFmtId="1" fontId="17" fillId="5" borderId="69" xfId="0" applyNumberFormat="1" applyFont="1" applyFill="1" applyBorder="1" applyAlignment="1" applyProtection="1">
      <alignment horizontal="center" vertical="center"/>
    </xf>
    <xf numFmtId="0" fontId="17" fillId="6" borderId="69" xfId="0" applyFont="1" applyFill="1" applyBorder="1" applyAlignment="1" applyProtection="1">
      <alignment horizontal="center" vertical="center"/>
      <protection locked="0"/>
    </xf>
    <xf numFmtId="1" fontId="16" fillId="59" borderId="69" xfId="0" applyNumberFormat="1" applyFont="1" applyFill="1" applyBorder="1" applyAlignment="1" applyProtection="1">
      <alignment horizontal="center" vertical="center"/>
    </xf>
    <xf numFmtId="3" fontId="16" fillId="59" borderId="69" xfId="0" applyNumberFormat="1" applyFont="1" applyFill="1" applyBorder="1" applyAlignment="1" applyProtection="1">
      <alignment horizontal="center" vertical="center"/>
    </xf>
    <xf numFmtId="9" fontId="17" fillId="6" borderId="69" xfId="0" applyNumberFormat="1" applyFont="1" applyFill="1" applyBorder="1" applyAlignment="1" applyProtection="1">
      <alignment horizontal="center" vertical="center"/>
      <protection locked="0"/>
    </xf>
    <xf numFmtId="3" fontId="8" fillId="0" borderId="69" xfId="0" applyNumberFormat="1" applyFont="1" applyBorder="1" applyAlignment="1" applyProtection="1">
      <alignment horizontal="center" vertical="center"/>
    </xf>
    <xf numFmtId="164" fontId="8" fillId="0" borderId="69" xfId="0" applyNumberFormat="1" applyFont="1" applyBorder="1" applyAlignment="1" applyProtection="1">
      <alignment horizontal="center" vertical="center"/>
    </xf>
    <xf numFmtId="3" fontId="6" fillId="59" borderId="69" xfId="0" applyNumberFormat="1" applyFont="1" applyFill="1" applyBorder="1" applyAlignment="1" applyProtection="1">
      <alignment horizontal="center" vertical="center"/>
    </xf>
    <xf numFmtId="164" fontId="6" fillId="59" borderId="69" xfId="0" applyNumberFormat="1" applyFont="1" applyFill="1" applyBorder="1" applyAlignment="1" applyProtection="1">
      <alignment horizontal="center" vertical="center"/>
    </xf>
    <xf numFmtId="0" fontId="11" fillId="29" borderId="69" xfId="0" applyFont="1" applyFill="1" applyBorder="1" applyAlignment="1" applyProtection="1">
      <alignment horizontal="center" vertical="center"/>
    </xf>
    <xf numFmtId="3" fontId="0" fillId="29" borderId="69" xfId="0" applyNumberFormat="1" applyFont="1" applyFill="1" applyBorder="1" applyAlignment="1" applyProtection="1">
      <alignment horizontal="center" vertical="center"/>
    </xf>
    <xf numFmtId="172" fontId="0" fillId="29" borderId="69" xfId="0" applyNumberFormat="1" applyFont="1" applyFill="1" applyBorder="1" applyAlignment="1" applyProtection="1">
      <alignment horizontal="center" vertical="center"/>
    </xf>
    <xf numFmtId="9" fontId="0" fillId="29" borderId="69" xfId="0" applyNumberFormat="1" applyFont="1" applyFill="1" applyBorder="1" applyAlignment="1" applyProtection="1">
      <alignment horizontal="center" vertical="center"/>
    </xf>
    <xf numFmtId="164" fontId="13" fillId="29" borderId="69" xfId="0" applyNumberFormat="1" applyFont="1" applyFill="1" applyBorder="1" applyAlignment="1" applyProtection="1">
      <alignment horizontal="center" vertical="center"/>
    </xf>
    <xf numFmtId="9" fontId="8" fillId="29" borderId="69" xfId="0" applyNumberFormat="1" applyFont="1" applyFill="1" applyBorder="1" applyAlignment="1" applyProtection="1">
      <alignment horizontal="center" vertical="center"/>
    </xf>
    <xf numFmtId="172" fontId="8" fillId="29" borderId="69" xfId="0" applyNumberFormat="1" applyFont="1" applyFill="1" applyBorder="1" applyAlignment="1" applyProtection="1">
      <alignment horizontal="center" vertical="center"/>
    </xf>
    <xf numFmtId="166" fontId="2" fillId="0" borderId="69" xfId="0" applyNumberFormat="1" applyFont="1" applyFill="1" applyBorder="1" applyAlignment="1" applyProtection="1">
      <alignment horizontal="center" vertical="center"/>
    </xf>
    <xf numFmtId="3" fontId="17" fillId="0" borderId="69" xfId="0" applyNumberFormat="1" applyFont="1" applyFill="1" applyBorder="1" applyAlignment="1" applyProtection="1">
      <alignment horizontal="center" vertical="center"/>
    </xf>
    <xf numFmtId="0" fontId="8" fillId="0" borderId="1" xfId="0" applyFont="1" applyFill="1" applyBorder="1" applyAlignment="1" applyProtection="1">
      <alignment vertical="center"/>
    </xf>
    <xf numFmtId="0" fontId="8" fillId="0" borderId="65" xfId="0" applyFont="1" applyFill="1" applyBorder="1" applyAlignment="1" applyProtection="1">
      <alignment vertical="center"/>
    </xf>
    <xf numFmtId="164" fontId="8" fillId="0" borderId="69"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xf>
    <xf numFmtId="164" fontId="8" fillId="0" borderId="70" xfId="0" applyNumberFormat="1" applyFont="1" applyFill="1" applyBorder="1" applyAlignment="1" applyProtection="1">
      <alignment horizontal="center" vertical="center"/>
    </xf>
    <xf numFmtId="8" fontId="0" fillId="0" borderId="0" xfId="0" applyNumberFormat="1" applyFont="1" applyAlignment="1" applyProtection="1">
      <alignment vertical="center"/>
    </xf>
    <xf numFmtId="4" fontId="0" fillId="57" borderId="90"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center" vertical="center"/>
      <protection locked="0"/>
    </xf>
    <xf numFmtId="0" fontId="2" fillId="0" borderId="45" xfId="0" applyFont="1" applyBorder="1" applyAlignment="1" applyProtection="1">
      <alignment horizontal="left" vertical="top" wrapText="1"/>
    </xf>
    <xf numFmtId="0" fontId="2" fillId="0" borderId="0" xfId="0" applyFont="1" applyAlignment="1" applyProtection="1">
      <alignment horizontal="left" vertical="center" wrapText="1"/>
    </xf>
    <xf numFmtId="0" fontId="10" fillId="0" borderId="45" xfId="0" applyFont="1" applyBorder="1" applyAlignment="1" applyProtection="1">
      <alignment horizontal="left" vertical="top" wrapText="1"/>
    </xf>
    <xf numFmtId="0" fontId="43" fillId="5" borderId="45" xfId="0" applyFont="1" applyFill="1" applyBorder="1" applyAlignment="1" applyProtection="1">
      <alignment horizontal="left" vertical="center" wrapText="1"/>
    </xf>
    <xf numFmtId="0" fontId="5" fillId="9" borderId="2"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5" fillId="13" borderId="2" xfId="0" applyFont="1" applyFill="1" applyBorder="1" applyAlignment="1" applyProtection="1">
      <alignment horizontal="left" vertical="center"/>
    </xf>
    <xf numFmtId="0" fontId="2" fillId="0" borderId="45" xfId="0" applyFont="1" applyBorder="1" applyAlignment="1" applyProtection="1">
      <alignment horizontal="left" vertical="center" wrapText="1"/>
    </xf>
    <xf numFmtId="0" fontId="10" fillId="0" borderId="55" xfId="0" applyFont="1" applyBorder="1" applyAlignment="1" applyProtection="1">
      <alignment horizontal="left" vertical="top" wrapText="1"/>
    </xf>
    <xf numFmtId="0" fontId="8" fillId="83" borderId="2" xfId="0" applyFont="1" applyFill="1" applyBorder="1" applyAlignment="1" applyProtection="1">
      <alignment vertical="center"/>
      <protection hidden="1"/>
    </xf>
    <xf numFmtId="0" fontId="7" fillId="41" borderId="3" xfId="0" applyFont="1" applyFill="1" applyBorder="1" applyAlignment="1" applyProtection="1">
      <alignment vertical="center"/>
      <protection hidden="1"/>
    </xf>
    <xf numFmtId="0" fontId="7" fillId="41" borderId="4" xfId="0" applyFont="1" applyFill="1" applyBorder="1" applyAlignment="1" applyProtection="1">
      <alignment vertical="center"/>
      <protection hidden="1"/>
    </xf>
    <xf numFmtId="0" fontId="11" fillId="7" borderId="2" xfId="0" applyFont="1" applyFill="1" applyBorder="1" applyAlignment="1" applyProtection="1">
      <alignment horizontal="center" vertical="center"/>
    </xf>
    <xf numFmtId="0" fontId="13" fillId="9" borderId="64" xfId="0" applyFont="1" applyFill="1" applyBorder="1" applyAlignment="1" applyProtection="1">
      <alignment horizontal="center" vertical="center"/>
    </xf>
    <xf numFmtId="0" fontId="5" fillId="84" borderId="90" xfId="0" applyFont="1" applyFill="1" applyBorder="1" applyAlignment="1" applyProtection="1">
      <alignment horizontal="left" vertical="center" wrapText="1"/>
    </xf>
    <xf numFmtId="0" fontId="11" fillId="84" borderId="80" xfId="0" applyFont="1" applyFill="1" applyBorder="1" applyAlignment="1" applyProtection="1">
      <alignment horizontal="left" vertical="center" wrapText="1"/>
    </xf>
    <xf numFmtId="0" fontId="41" fillId="0" borderId="0" xfId="0" applyFont="1" applyAlignment="1" applyProtection="1">
      <alignment horizontal="left" vertical="top" wrapText="1"/>
    </xf>
    <xf numFmtId="0" fontId="0" fillId="0" borderId="0" xfId="0" applyFont="1" applyAlignment="1" applyProtection="1">
      <alignment vertical="center"/>
    </xf>
    <xf numFmtId="0" fontId="8" fillId="12" borderId="8" xfId="0" applyFont="1" applyFill="1" applyBorder="1" applyAlignment="1" applyProtection="1">
      <alignment vertical="center" wrapText="1"/>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2" fillId="5" borderId="45" xfId="0" applyFont="1" applyFill="1" applyBorder="1" applyAlignment="1" applyProtection="1">
      <alignment horizontal="left" vertical="top" wrapText="1"/>
    </xf>
    <xf numFmtId="0" fontId="2" fillId="0" borderId="0" xfId="0" applyFont="1" applyAlignment="1" applyProtection="1">
      <alignment vertical="center" wrapText="1"/>
    </xf>
    <xf numFmtId="0" fontId="2" fillId="0" borderId="0" xfId="0" applyFont="1" applyAlignment="1">
      <alignment vertical="center" textRotation="90"/>
    </xf>
    <xf numFmtId="0" fontId="0" fillId="0" borderId="0" xfId="0" applyFont="1" applyAlignment="1">
      <alignment vertical="center"/>
    </xf>
    <xf numFmtId="0" fontId="10"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73" borderId="90" xfId="0" applyFont="1" applyFill="1" applyBorder="1" applyAlignment="1" applyProtection="1">
      <alignment horizontal="left" vertical="center"/>
    </xf>
    <xf numFmtId="0" fontId="0" fillId="73" borderId="78" xfId="0" applyFont="1" applyFill="1" applyBorder="1" applyAlignment="1" applyProtection="1">
      <alignment horizontal="left" vertical="center"/>
    </xf>
    <xf numFmtId="0" fontId="0" fillId="73" borderId="80" xfId="0" applyFont="1" applyFill="1" applyBorder="1" applyAlignment="1" applyProtection="1">
      <alignment horizontal="left" vertical="center"/>
    </xf>
    <xf numFmtId="0" fontId="2" fillId="5" borderId="0" xfId="0" applyFont="1" applyFill="1" applyAlignment="1" applyProtection="1">
      <alignment horizontal="left" vertical="top" wrapText="1"/>
    </xf>
    <xf numFmtId="0" fontId="13" fillId="0" borderId="90" xfId="0" applyFont="1" applyBorder="1" applyAlignment="1" applyProtection="1">
      <alignment horizontal="center" vertical="center"/>
    </xf>
    <xf numFmtId="0" fontId="13" fillId="0" borderId="80" xfId="0" applyFont="1" applyBorder="1" applyAlignment="1" applyProtection="1">
      <alignment horizontal="center" vertical="center"/>
    </xf>
    <xf numFmtId="0" fontId="10" fillId="0" borderId="0" xfId="0" applyFont="1" applyAlignment="1" applyProtection="1">
      <alignment horizontal="left" vertical="top" wrapText="1"/>
    </xf>
    <xf numFmtId="0" fontId="58" fillId="0" borderId="100" xfId="13" applyFont="1" applyBorder="1" applyAlignment="1" applyProtection="1">
      <alignment horizontal="left" wrapText="1"/>
    </xf>
    <xf numFmtId="49" fontId="52" fillId="57" borderId="97" xfId="11" applyNumberFormat="1" applyFont="1" applyFill="1" applyBorder="1" applyAlignment="1" applyProtection="1">
      <alignment horizontal="left" vertical="center"/>
      <protection locked="0"/>
    </xf>
    <xf numFmtId="49" fontId="52" fillId="57" borderId="98" xfId="11" applyNumberFormat="1" applyFont="1" applyFill="1" applyBorder="1" applyAlignment="1" applyProtection="1">
      <alignment horizontal="left" vertical="center"/>
      <protection locked="0"/>
    </xf>
    <xf numFmtId="49" fontId="52" fillId="57" borderId="99" xfId="11" applyNumberFormat="1" applyFont="1" applyFill="1" applyBorder="1" applyAlignment="1" applyProtection="1">
      <alignment horizontal="left" vertical="center"/>
      <protection locked="0"/>
    </xf>
    <xf numFmtId="49" fontId="52" fillId="57" borderId="45" xfId="11" applyNumberFormat="1" applyFont="1" applyFill="1" applyAlignment="1" applyProtection="1">
      <alignment horizontal="left" vertical="center"/>
      <protection locked="0"/>
    </xf>
    <xf numFmtId="0" fontId="53" fillId="57" borderId="98" xfId="11" applyFont="1" applyFill="1" applyBorder="1" applyAlignment="1" applyProtection="1">
      <alignment horizontal="right" vertical="center"/>
      <protection locked="0"/>
    </xf>
    <xf numFmtId="0" fontId="53" fillId="57" borderId="45" xfId="11" applyFont="1" applyFill="1" applyAlignment="1" applyProtection="1">
      <alignment horizontal="right" vertical="center"/>
      <protection locked="0"/>
    </xf>
    <xf numFmtId="14" fontId="54" fillId="57" borderId="99" xfId="11" applyNumberFormat="1" applyFont="1" applyFill="1" applyBorder="1" applyAlignment="1" applyProtection="1">
      <alignment horizontal="left"/>
      <protection locked="0"/>
    </xf>
    <xf numFmtId="14" fontId="54" fillId="57" borderId="45" xfId="11" applyNumberFormat="1" applyFont="1" applyFill="1" applyAlignment="1" applyProtection="1">
      <alignment horizontal="left"/>
      <protection locked="0"/>
    </xf>
    <xf numFmtId="0" fontId="57" fillId="61" borderId="100" xfId="12" applyFont="1" applyFill="1" applyBorder="1" applyAlignment="1" applyProtection="1">
      <alignment horizontal="left"/>
    </xf>
    <xf numFmtId="0" fontId="57" fillId="61" borderId="100" xfId="15" applyFont="1" applyFill="1" applyBorder="1" applyAlignment="1" applyProtection="1">
      <alignment horizontal="center"/>
    </xf>
    <xf numFmtId="0" fontId="64" fillId="65" borderId="100" xfId="17" applyFont="1" applyFill="1" applyBorder="1" applyAlignment="1" applyProtection="1">
      <alignment horizontal="center" vertical="center"/>
    </xf>
    <xf numFmtId="0" fontId="60" fillId="61" borderId="100" xfId="15" applyFont="1" applyFill="1" applyBorder="1" applyAlignment="1" applyProtection="1">
      <alignment horizontal="center"/>
    </xf>
    <xf numFmtId="0" fontId="65" fillId="0" borderId="100" xfId="15" applyFont="1" applyBorder="1" applyAlignment="1" applyProtection="1">
      <alignment horizontal="left" wrapText="1"/>
    </xf>
    <xf numFmtId="0" fontId="57" fillId="61" borderId="100" xfId="15" applyFont="1" applyFill="1" applyBorder="1" applyAlignment="1" applyProtection="1">
      <alignment horizontal="left"/>
    </xf>
    <xf numFmtId="0" fontId="57" fillId="65" borderId="100" xfId="17" applyFont="1" applyFill="1" applyBorder="1" applyAlignment="1" applyProtection="1">
      <alignment horizontal="left" vertical="center"/>
    </xf>
    <xf numFmtId="0" fontId="2" fillId="0" borderId="2"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0" borderId="4" xfId="0" applyFont="1" applyBorder="1" applyAlignment="1" applyProtection="1">
      <alignment vertical="center"/>
      <protection hidden="1"/>
    </xf>
    <xf numFmtId="0" fontId="2" fillId="0" borderId="2" xfId="0" applyFont="1" applyBorder="1" applyAlignment="1" applyProtection="1">
      <alignment vertical="center" wrapText="1"/>
      <protection hidden="1"/>
    </xf>
    <xf numFmtId="0" fontId="5" fillId="4" borderId="2" xfId="0" applyFont="1" applyFill="1" applyBorder="1" applyAlignment="1" applyProtection="1">
      <alignment vertical="center"/>
      <protection hidden="1"/>
    </xf>
    <xf numFmtId="0" fontId="7" fillId="0" borderId="2" xfId="0" applyFont="1" applyBorder="1" applyAlignment="1" applyProtection="1">
      <alignment vertical="center"/>
      <protection hidden="1"/>
    </xf>
    <xf numFmtId="0" fontId="2" fillId="0" borderId="2" xfId="0" applyFont="1" applyBorder="1" applyAlignment="1" applyProtection="1">
      <alignment vertical="center" wrapText="1"/>
    </xf>
    <xf numFmtId="0" fontId="15" fillId="5" borderId="107" xfId="0" applyFont="1" applyFill="1" applyBorder="1" applyAlignment="1" applyProtection="1">
      <alignment horizontal="left" vertical="top" wrapText="1"/>
    </xf>
    <xf numFmtId="0" fontId="15" fillId="5" borderId="108" xfId="0" applyFont="1" applyFill="1" applyBorder="1" applyAlignment="1" applyProtection="1">
      <alignment horizontal="left" vertical="top" wrapText="1"/>
    </xf>
    <xf numFmtId="0" fontId="15" fillId="5" borderId="45" xfId="0" applyFont="1" applyFill="1" applyBorder="1" applyAlignment="1" applyProtection="1">
      <alignment horizontal="left" vertical="top" wrapText="1"/>
    </xf>
    <xf numFmtId="0" fontId="15" fillId="5" borderId="76" xfId="0" applyFont="1" applyFill="1" applyBorder="1" applyAlignment="1" applyProtection="1">
      <alignment horizontal="left" vertical="top" wrapText="1"/>
    </xf>
    <xf numFmtId="0" fontId="15" fillId="5" borderId="110" xfId="0" applyFont="1" applyFill="1" applyBorder="1" applyAlignment="1" applyProtection="1">
      <alignment horizontal="left" vertical="top" wrapText="1"/>
    </xf>
    <xf numFmtId="0" fontId="15" fillId="5" borderId="111" xfId="0" applyFont="1" applyFill="1" applyBorder="1" applyAlignment="1" applyProtection="1">
      <alignment horizontal="left" vertical="top" wrapText="1"/>
    </xf>
    <xf numFmtId="2" fontId="8" fillId="5" borderId="1" xfId="0" applyNumberFormat="1" applyFont="1" applyFill="1" applyBorder="1" applyAlignment="1" applyProtection="1">
      <alignment horizontal="center" vertical="center"/>
    </xf>
  </cellXfs>
  <cellStyles count="19">
    <cellStyle name="Comma" xfId="2" builtinId="3"/>
    <cellStyle name="Comma 2" xfId="5" xr:uid="{E177DCE6-4F99-4609-B080-492EBAB9F156}"/>
    <cellStyle name="Comma 3" xfId="8" xr:uid="{00000000-0005-0000-0000-000033000000}"/>
    <cellStyle name="Cost of Sales fill" xfId="16" xr:uid="{AB321828-BA34-4EDC-A83D-1D2BB0C216EC}"/>
    <cellStyle name="Currency" xfId="1" builtinId="4"/>
    <cellStyle name="Currency 2" xfId="7" xr:uid="{00000000-0005-0000-0000-000034000000}"/>
    <cellStyle name="Expenses fill" xfId="18" xr:uid="{21757D85-03D8-4417-B725-73C0A4B8618E}"/>
    <cellStyle name="Hyperlink 2" xfId="4" xr:uid="{A4A87CBE-E74B-42FF-822A-C417757D47AD}"/>
    <cellStyle name="Normal" xfId="0" builtinId="0"/>
    <cellStyle name="Normal 2" xfId="3" xr:uid="{9E0E5936-FE41-4748-BEA2-06DB64E5EF1F}"/>
    <cellStyle name="Normal 2 2" xfId="10" xr:uid="{9E0E5936-FE41-4748-BEA2-06DB64E5EF1F}"/>
    <cellStyle name="Normal 3" xfId="6" xr:uid="{C8C7B4AD-35E9-4CE8-9EB6-21242239BD55}"/>
    <cellStyle name="Normal 4" xfId="11" xr:uid="{6FE76B1B-5AF5-4264-B2AB-7AF4C69169AA}"/>
    <cellStyle name="Normal 5" xfId="15" xr:uid="{CCC026E6-55F3-471F-99EC-95EFC05E4B80}"/>
    <cellStyle name="Percent 2" xfId="9" xr:uid="{00000000-0005-0000-0000-000036000000}"/>
    <cellStyle name="Profit" xfId="17" xr:uid="{C552FC96-1E78-4F3B-AE1C-81D21DDBC479}"/>
    <cellStyle name="Revenue fill" xfId="14" xr:uid="{9DBA8801-781E-4790-8635-9353B61E314F}"/>
    <cellStyle name="Table Details" xfId="13" xr:uid="{D9CBBCBB-41AD-437C-A2B9-94812445E11E}"/>
    <cellStyle name="Table Heading 1" xfId="12" xr:uid="{EFC9C7F2-C259-48E7-AA04-60AB14023839}"/>
  </cellStyles>
  <dxfs count="11">
    <dxf>
      <font>
        <color rgb="FFFF0000"/>
      </font>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Allocation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9-45C7-8FE1-71DDE7DF5B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9-45C7-8FE1-71DDE7DF5B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9-45C7-8FE1-71DDE7DF5B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9-45C7-8FE1-71DDE7DF5B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9-45C7-8FE1-71DDE7DF5B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9-45C7-8FE1-71DDE7DF5B6C}"/>
              </c:ext>
            </c:extLst>
          </c:dPt>
          <c:cat>
            <c:strRef>
              <c:f>'Startup Costs'!$I$28:$I$33</c:f>
              <c:strCache>
                <c:ptCount val="6"/>
                <c:pt idx="0">
                  <c:v>Greenhouse and/or Building Improvements</c:v>
                </c:pt>
                <c:pt idx="1">
                  <c:v>Aquaponic System</c:v>
                </c:pt>
                <c:pt idx="2">
                  <c:v>City and County Entitlement</c:v>
                </c:pt>
                <c:pt idx="3">
                  <c:v>Site Development</c:v>
                </c:pt>
                <c:pt idx="4">
                  <c:v>FF&amp;E</c:v>
                </c:pt>
                <c:pt idx="5">
                  <c:v>Farm Supplies</c:v>
                </c:pt>
              </c:strCache>
            </c:strRef>
          </c:cat>
          <c:val>
            <c:numRef>
              <c:f>'Startup Costs'!$J$28:$J$33</c:f>
              <c:numCache>
                <c:formatCode>"$"#,##0</c:formatCode>
                <c:ptCount val="6"/>
                <c:pt idx="0">
                  <c:v>50000</c:v>
                </c:pt>
                <c:pt idx="1">
                  <c:v>0</c:v>
                </c:pt>
                <c:pt idx="2">
                  <c:v>0</c:v>
                </c:pt>
                <c:pt idx="3">
                  <c:v>0</c:v>
                </c:pt>
                <c:pt idx="4">
                  <c:v>0</c:v>
                </c:pt>
                <c:pt idx="5">
                  <c:v>0</c:v>
                </c:pt>
              </c:numCache>
            </c:numRef>
          </c:val>
          <c:extLst>
            <c:ext xmlns:c16="http://schemas.microsoft.com/office/drawing/2014/chart" uri="{C3380CC4-5D6E-409C-BE32-E72D297353CC}">
              <c16:uniqueId val="{00000000-832F-4121-88B8-B67AB565DC4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619125</xdr:colOff>
      <xdr:row>0</xdr:row>
      <xdr:rowOff>95250</xdr:rowOff>
    </xdr:from>
    <xdr:ext cx="4267200" cy="6572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7</xdr:col>
      <xdr:colOff>226695</xdr:colOff>
      <xdr:row>26</xdr:row>
      <xdr:rowOff>207645</xdr:rowOff>
    </xdr:from>
    <xdr:to>
      <xdr:col>14</xdr:col>
      <xdr:colOff>533400</xdr:colOff>
      <xdr:row>43</xdr:row>
      <xdr:rowOff>26670</xdr:rowOff>
    </xdr:to>
    <xdr:graphicFrame macro="">
      <xdr:nvGraphicFramePr>
        <xdr:cNvPr id="2" name="Chart 1">
          <a:extLst>
            <a:ext uri="{FF2B5EF4-FFF2-40B4-BE49-F238E27FC236}">
              <a16:creationId xmlns:a16="http://schemas.microsoft.com/office/drawing/2014/main" id="{21621A25-942D-49FF-A199-58E767F4DE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reciation-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
      <sheetName val="Methods"/>
      <sheetName val="Sheet1"/>
    </sheetNames>
    <sheetDataSet>
      <sheetData sheetId="0"/>
      <sheetData sheetId="1" refreshError="1"/>
      <sheetData sheetId="2">
        <row r="2">
          <cell r="A2" t="str">
            <v>SL</v>
          </cell>
          <cell r="B2" t="str">
            <v>n/a</v>
          </cell>
          <cell r="C2" t="str">
            <v>n/a</v>
          </cell>
        </row>
        <row r="3">
          <cell r="A3" t="str">
            <v>SYOD</v>
          </cell>
          <cell r="B3" t="str">
            <v>n/a</v>
          </cell>
          <cell r="C3" t="str">
            <v>n/a</v>
          </cell>
        </row>
        <row r="4">
          <cell r="A4" t="str">
            <v>DDB</v>
          </cell>
          <cell r="B4">
            <v>2</v>
          </cell>
          <cell r="C4" t="b">
            <v>1</v>
          </cell>
        </row>
        <row r="5">
          <cell r="A5" t="str">
            <v>DDB-SL</v>
          </cell>
          <cell r="B5">
            <v>2</v>
          </cell>
          <cell r="C5" t="b">
            <v>0</v>
          </cell>
        </row>
        <row r="6">
          <cell r="A6" t="str">
            <v>1.5DB</v>
          </cell>
          <cell r="B6">
            <v>1.5</v>
          </cell>
          <cell r="C6" t="b">
            <v>1</v>
          </cell>
        </row>
        <row r="7">
          <cell r="A7" t="str">
            <v>1.5DB-SL</v>
          </cell>
          <cell r="B7">
            <v>1.5</v>
          </cell>
          <cell r="C7" t="b">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0000"/>
    <outlinePr summaryBelow="0" summaryRight="0"/>
    <pageSetUpPr fitToPage="1"/>
  </sheetPr>
  <dimension ref="B1:L31"/>
  <sheetViews>
    <sheetView showGridLines="0" workbookViewId="0">
      <selection activeCell="C11" sqref="C11"/>
    </sheetView>
  </sheetViews>
  <sheetFormatPr defaultColWidth="17.27734375" defaultRowHeight="15" customHeight="1"/>
  <cols>
    <col min="1" max="1" width="9.44140625" customWidth="1"/>
    <col min="2" max="2" width="71.0546875" customWidth="1"/>
    <col min="3" max="3" width="9.27734375" customWidth="1"/>
    <col min="4" max="4" width="9.71875" customWidth="1"/>
    <col min="5" max="5" width="5.33203125" customWidth="1"/>
  </cols>
  <sheetData>
    <row r="1" spans="2:12" ht="15" customHeight="1">
      <c r="B1" s="1109"/>
      <c r="C1" s="1109"/>
      <c r="D1" s="1109"/>
      <c r="E1" s="1109"/>
      <c r="F1" s="1109"/>
      <c r="G1" s="1109"/>
      <c r="H1" s="1109"/>
      <c r="I1" s="1109"/>
      <c r="J1" s="1109"/>
      <c r="K1" s="1109"/>
    </row>
    <row r="2" spans="2:12" ht="15" customHeight="1">
      <c r="B2" s="1109"/>
      <c r="C2" s="10" t="s">
        <v>15</v>
      </c>
      <c r="D2" s="5">
        <v>43948</v>
      </c>
      <c r="E2" s="1109"/>
      <c r="F2" s="1109"/>
      <c r="G2" s="1109"/>
      <c r="H2" s="1109"/>
      <c r="I2" s="1109"/>
      <c r="J2" s="1109"/>
      <c r="K2" s="1109"/>
      <c r="L2" s="275" t="s">
        <v>941</v>
      </c>
    </row>
    <row r="3" spans="2:12" ht="15" customHeight="1">
      <c r="B3" s="1109"/>
      <c r="C3" s="6" t="s">
        <v>16</v>
      </c>
      <c r="D3" s="7" t="s">
        <v>17</v>
      </c>
      <c r="E3" s="1109"/>
      <c r="F3" s="1109"/>
      <c r="G3" s="1109"/>
      <c r="H3" s="1109"/>
      <c r="I3" s="1109"/>
      <c r="J3" s="1109"/>
      <c r="K3" s="1109"/>
      <c r="L3" s="275" t="s">
        <v>942</v>
      </c>
    </row>
    <row r="4" spans="2:12" ht="15" customHeight="1">
      <c r="B4" s="1109"/>
      <c r="C4" s="1109"/>
      <c r="D4" s="1109"/>
      <c r="E4" s="1109"/>
      <c r="F4" s="275"/>
      <c r="G4" s="1109"/>
      <c r="H4" s="1109"/>
      <c r="I4" s="1109"/>
      <c r="J4" s="1109"/>
      <c r="K4" s="1109"/>
    </row>
    <row r="5" spans="2:12" ht="15" customHeight="1">
      <c r="B5" s="13"/>
      <c r="C5" s="1109"/>
      <c r="D5" s="1109"/>
      <c r="E5" s="1109"/>
      <c r="F5" s="1109"/>
      <c r="G5" s="1109"/>
      <c r="H5" s="1109"/>
      <c r="I5" s="1109"/>
      <c r="J5" s="1109"/>
      <c r="K5" s="1109"/>
    </row>
    <row r="6" spans="2:12" ht="17.399999999999999" customHeight="1">
      <c r="B6" s="1316" t="s">
        <v>828</v>
      </c>
      <c r="C6" s="1317"/>
      <c r="D6" s="1317"/>
      <c r="E6" s="1108"/>
      <c r="F6" s="1318" t="s">
        <v>728</v>
      </c>
      <c r="G6" s="1317"/>
      <c r="H6" s="1317"/>
      <c r="I6" s="1108"/>
      <c r="J6" s="1108"/>
      <c r="K6" s="1108"/>
    </row>
    <row r="7" spans="2:12" ht="64.5" customHeight="1">
      <c r="B7" s="1473" t="s">
        <v>830</v>
      </c>
      <c r="C7" s="1473"/>
      <c r="D7" s="1473"/>
      <c r="E7" s="1108"/>
      <c r="F7" s="1472" t="s">
        <v>914</v>
      </c>
      <c r="G7" s="1472"/>
      <c r="H7" s="1472"/>
      <c r="I7" s="1472"/>
      <c r="J7" s="1472"/>
      <c r="K7" s="1472"/>
    </row>
    <row r="8" spans="2:12" ht="15" customHeight="1">
      <c r="B8" s="1108"/>
      <c r="C8" s="1108"/>
      <c r="D8" s="1108"/>
      <c r="E8" s="1108"/>
      <c r="F8" s="1473"/>
      <c r="G8" s="1473"/>
      <c r="H8" s="1473"/>
      <c r="I8" s="1108"/>
      <c r="J8" s="1108"/>
      <c r="K8" s="1108"/>
    </row>
    <row r="9" spans="2:12" ht="15" customHeight="1">
      <c r="B9" s="1318" t="s">
        <v>827</v>
      </c>
      <c r="C9" s="1317"/>
      <c r="D9" s="1317"/>
      <c r="E9" s="1108"/>
      <c r="F9" s="1318" t="s">
        <v>765</v>
      </c>
      <c r="G9" s="1317"/>
      <c r="H9" s="1317"/>
      <c r="I9" s="1317"/>
      <c r="J9" s="1317"/>
      <c r="K9" s="1317"/>
    </row>
    <row r="10" spans="2:12" ht="15" customHeight="1">
      <c r="B10" s="844" t="s">
        <v>730</v>
      </c>
      <c r="C10" s="1108"/>
      <c r="D10" s="1108"/>
      <c r="E10" s="1108"/>
      <c r="F10" s="844" t="s">
        <v>887</v>
      </c>
      <c r="G10" s="1108"/>
      <c r="H10" s="1108"/>
      <c r="I10" s="1108"/>
      <c r="J10" s="1108"/>
      <c r="K10" s="1108"/>
    </row>
    <row r="11" spans="2:12" s="1342" customFormat="1" ht="15" customHeight="1">
      <c r="B11" s="1413" t="s">
        <v>943</v>
      </c>
      <c r="C11" s="1366" t="s">
        <v>941</v>
      </c>
      <c r="D11" s="1340"/>
      <c r="E11" s="1340"/>
      <c r="F11" s="844" t="s">
        <v>766</v>
      </c>
      <c r="G11" s="1340"/>
      <c r="H11" s="1340"/>
      <c r="I11" s="1340"/>
      <c r="J11" s="1340"/>
      <c r="K11" s="1340"/>
    </row>
    <row r="12" spans="2:12" ht="15" customHeight="1">
      <c r="B12" s="1107" t="s">
        <v>18</v>
      </c>
      <c r="C12" s="1108"/>
      <c r="D12" s="1108"/>
      <c r="E12" s="1108"/>
      <c r="F12" s="844" t="s">
        <v>858</v>
      </c>
      <c r="G12" s="1108"/>
      <c r="H12" s="1108"/>
      <c r="I12" s="1108"/>
      <c r="J12" s="1108"/>
      <c r="K12" s="1108"/>
    </row>
    <row r="13" spans="2:12" s="201" customFormat="1" ht="16.5" customHeight="1">
      <c r="B13" s="844" t="s">
        <v>915</v>
      </c>
      <c r="C13" s="1108"/>
      <c r="D13" s="1108"/>
      <c r="E13" s="1108"/>
      <c r="F13" s="844" t="s">
        <v>859</v>
      </c>
      <c r="G13" s="1108"/>
      <c r="H13" s="1108"/>
      <c r="I13" s="1108"/>
      <c r="J13" s="1108"/>
      <c r="K13" s="1108"/>
    </row>
    <row r="14" spans="2:12" ht="15" customHeight="1">
      <c r="B14" s="844" t="s">
        <v>831</v>
      </c>
      <c r="C14" s="1108"/>
      <c r="D14" s="1108"/>
      <c r="E14" s="1108"/>
      <c r="F14" s="844" t="s">
        <v>854</v>
      </c>
      <c r="G14" s="1108"/>
      <c r="H14" s="1108"/>
      <c r="I14" s="1108"/>
      <c r="J14" s="1108"/>
      <c r="K14" s="1108"/>
    </row>
    <row r="15" spans="2:12" s="1048" customFormat="1" ht="15" customHeight="1">
      <c r="B15" s="844" t="s">
        <v>832</v>
      </c>
      <c r="C15" s="1108"/>
      <c r="D15" s="1108"/>
      <c r="E15" s="1108"/>
      <c r="F15" s="844" t="s">
        <v>767</v>
      </c>
      <c r="G15" s="1108"/>
      <c r="H15" s="1108"/>
      <c r="I15" s="1108"/>
      <c r="J15" s="1108"/>
      <c r="K15" s="1108"/>
    </row>
    <row r="16" spans="2:12" s="1048" customFormat="1" ht="15" customHeight="1">
      <c r="B16" s="844" t="s">
        <v>833</v>
      </c>
      <c r="C16" s="1108"/>
      <c r="D16" s="1108"/>
      <c r="E16" s="1108"/>
      <c r="F16" s="844" t="s">
        <v>768</v>
      </c>
      <c r="G16" s="1108"/>
      <c r="H16" s="1108"/>
      <c r="I16" s="1108"/>
      <c r="J16" s="1108"/>
      <c r="K16" s="1108"/>
    </row>
    <row r="17" spans="2:11" s="1048" customFormat="1" ht="15" customHeight="1">
      <c r="B17" s="1108" t="s">
        <v>829</v>
      </c>
      <c r="C17" s="1108"/>
      <c r="D17" s="1108"/>
      <c r="E17" s="1108"/>
      <c r="F17" s="844" t="s">
        <v>774</v>
      </c>
      <c r="G17" s="1108"/>
      <c r="H17" s="1108"/>
      <c r="I17" s="1108"/>
      <c r="J17" s="1108"/>
      <c r="K17" s="1108"/>
    </row>
    <row r="18" spans="2:11" ht="28.2" customHeight="1">
      <c r="B18" s="1341" t="s">
        <v>836</v>
      </c>
      <c r="C18" s="1341"/>
      <c r="D18" s="1341"/>
      <c r="E18" s="1108"/>
      <c r="F18" s="844" t="s">
        <v>775</v>
      </c>
      <c r="G18" s="1108"/>
      <c r="H18" s="1108"/>
      <c r="I18" s="1108"/>
      <c r="J18" s="1108"/>
      <c r="K18" s="1108"/>
    </row>
    <row r="19" spans="2:11" ht="14.4" customHeight="1">
      <c r="D19" s="1108"/>
      <c r="E19" s="1108"/>
      <c r="F19" s="844" t="s">
        <v>784</v>
      </c>
      <c r="G19" s="1108"/>
      <c r="H19" s="1108"/>
      <c r="I19" s="1108"/>
      <c r="J19" s="1108"/>
      <c r="K19" s="1108"/>
    </row>
    <row r="20" spans="2:11" ht="15.3" customHeight="1">
      <c r="B20" s="792" t="s">
        <v>838</v>
      </c>
      <c r="C20" s="1108"/>
      <c r="D20" s="1108"/>
      <c r="E20" s="1108"/>
      <c r="F20" s="844" t="s">
        <v>785</v>
      </c>
      <c r="G20" s="1108"/>
      <c r="H20" s="1108"/>
      <c r="I20" s="1108"/>
      <c r="J20" s="1108"/>
      <c r="K20" s="1108"/>
    </row>
    <row r="21" spans="2:11" s="277" customFormat="1" ht="14.4" customHeight="1">
      <c r="B21" s="976" t="s">
        <v>809</v>
      </c>
      <c r="C21" s="1319"/>
      <c r="D21" s="1108"/>
      <c r="E21" s="1108"/>
      <c r="F21" s="844" t="s">
        <v>855</v>
      </c>
      <c r="G21" s="1108"/>
      <c r="H21" s="1108"/>
      <c r="I21" s="1108"/>
      <c r="J21" s="1108"/>
      <c r="K21" s="1108"/>
    </row>
    <row r="22" spans="2:11" ht="16.2" customHeight="1">
      <c r="B22" s="976" t="s">
        <v>810</v>
      </c>
      <c r="C22" s="1320"/>
      <c r="D22" s="1328"/>
      <c r="E22" s="1108"/>
      <c r="F22" s="844" t="s">
        <v>886</v>
      </c>
      <c r="G22" s="1108"/>
      <c r="H22" s="1108"/>
      <c r="I22" s="1108"/>
      <c r="J22" s="1108"/>
      <c r="K22" s="1108"/>
    </row>
    <row r="23" spans="2:11" ht="15" customHeight="1">
      <c r="B23" s="976" t="s">
        <v>839</v>
      </c>
      <c r="C23" s="1321"/>
      <c r="D23" s="1328"/>
      <c r="E23" s="1108"/>
      <c r="F23" s="844" t="s">
        <v>888</v>
      </c>
      <c r="G23" s="1108"/>
      <c r="H23" s="1108"/>
      <c r="I23" s="1108"/>
      <c r="J23" s="1108"/>
      <c r="K23" s="1108"/>
    </row>
    <row r="24" spans="2:11" ht="14.7" customHeight="1">
      <c r="B24" s="1328"/>
      <c r="C24" s="1328"/>
      <c r="D24" s="1328"/>
      <c r="E24" s="1108"/>
      <c r="F24" s="844" t="s">
        <v>837</v>
      </c>
      <c r="G24" s="1108"/>
      <c r="H24" s="1108"/>
      <c r="I24" s="1108"/>
      <c r="J24" s="1108"/>
      <c r="K24" s="1108"/>
    </row>
    <row r="25" spans="2:11" ht="15" customHeight="1">
      <c r="B25" s="1322" t="s">
        <v>20</v>
      </c>
      <c r="C25" s="1317"/>
      <c r="D25" s="1317"/>
      <c r="E25" s="1108"/>
      <c r="F25" s="275" t="s">
        <v>932</v>
      </c>
      <c r="G25" s="1108"/>
      <c r="H25" s="1108"/>
      <c r="I25" s="1108"/>
      <c r="J25" s="1108"/>
      <c r="K25" s="1108"/>
    </row>
    <row r="26" spans="2:11" ht="25.5" customHeight="1">
      <c r="B26" s="1325" t="s">
        <v>835</v>
      </c>
      <c r="C26" s="1325"/>
      <c r="D26" s="1325"/>
      <c r="E26" s="1108"/>
      <c r="F26" s="1108"/>
      <c r="G26" s="1108"/>
      <c r="H26" s="1108"/>
      <c r="I26" s="1108"/>
      <c r="J26" s="1108"/>
      <c r="K26" s="1108"/>
    </row>
    <row r="27" spans="2:11" ht="28.5" customHeight="1">
      <c r="B27" s="1326" t="s">
        <v>22</v>
      </c>
      <c r="C27" s="1326"/>
      <c r="D27" s="1326"/>
      <c r="E27" s="1108"/>
      <c r="F27" s="1108"/>
      <c r="G27" s="1108"/>
      <c r="H27" s="1108"/>
      <c r="I27" s="1108"/>
      <c r="J27" s="1108"/>
      <c r="K27" s="1108"/>
    </row>
    <row r="28" spans="2:11" ht="30" customHeight="1">
      <c r="B28" s="1324" t="s">
        <v>834</v>
      </c>
      <c r="C28" s="1324"/>
      <c r="D28" s="1324"/>
      <c r="E28" s="1108"/>
      <c r="F28" s="844"/>
      <c r="G28" s="1108"/>
      <c r="H28" s="1108"/>
      <c r="I28" s="1108"/>
      <c r="J28" s="1108"/>
      <c r="K28" s="1108"/>
    </row>
    <row r="29" spans="2:11" ht="24.3" customHeight="1">
      <c r="F29" s="275"/>
    </row>
    <row r="30" spans="2:11" ht="27.6" customHeight="1"/>
    <row r="31" spans="2:11" ht="24.6" customHeight="1"/>
  </sheetData>
  <sheetProtection algorithmName="SHA-512" hashValue="oLGN/y/pRd1mYTh1MXzf6cJsL0G5vXCtRce5P8AEvnmCLEFTCzUnBQEvsVvorV44Kn5Pe5XASQsFl3HVWhw35Q==" saltValue="AIVFebRYtbPgqxxV/kbDjg==" spinCount="100000" sheet="1"/>
  <mergeCells count="3">
    <mergeCell ref="F7:K7"/>
    <mergeCell ref="F8:H8"/>
    <mergeCell ref="B7:D7"/>
  </mergeCells>
  <dataValidations count="1">
    <dataValidation type="list" showInputMessage="1" showErrorMessage="1" sqref="C11" xr:uid="{A97CBB64-D48A-4B39-8308-9CCC5AA913AE}">
      <formula1>$L$2:$L$3</formula1>
    </dataValidation>
  </dataValidations>
  <printOptions horizontalCentered="1" gridLines="1"/>
  <pageMargins left="0.7" right="0.7" top="0.75" bottom="0.75" header="0" footer="0"/>
  <pageSetup fitToHeight="0"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sheetPr>
  <dimension ref="A1:AA1011"/>
  <sheetViews>
    <sheetView showGridLines="0" workbookViewId="0">
      <selection activeCell="B16" sqref="B16"/>
    </sheetView>
  </sheetViews>
  <sheetFormatPr defaultColWidth="17.27734375" defaultRowHeight="15" customHeight="1"/>
  <cols>
    <col min="1" max="1" width="3.83203125" customWidth="1"/>
    <col min="2" max="2" width="32.6640625" style="279" customWidth="1"/>
    <col min="3" max="3" width="8.5546875" style="279" customWidth="1"/>
    <col min="4" max="4" width="8.71875" style="279" customWidth="1"/>
    <col min="5" max="9" width="12.71875" style="279" customWidth="1"/>
    <col min="10" max="11" width="8.71875" style="279" customWidth="1"/>
    <col min="12" max="12" width="10.27734375" style="279" customWidth="1"/>
    <col min="13" max="27" width="8.71875" style="279" customWidth="1"/>
  </cols>
  <sheetData>
    <row r="1" spans="1:27" ht="12" customHeight="1">
      <c r="C1" s="765"/>
    </row>
    <row r="2" spans="1:27" ht="18" customHeight="1">
      <c r="B2" s="388" t="s">
        <v>54</v>
      </c>
      <c r="C2" s="765"/>
      <c r="E2" s="710"/>
    </row>
    <row r="3" spans="1:27" ht="12" customHeight="1">
      <c r="C3" s="765"/>
      <c r="I3" s="294"/>
    </row>
    <row r="4" spans="1:27" ht="12" customHeight="1">
      <c r="B4" s="766" t="s">
        <v>590</v>
      </c>
      <c r="C4" s="767" t="s">
        <v>179</v>
      </c>
      <c r="D4" s="768" t="s">
        <v>31</v>
      </c>
      <c r="E4" s="768" t="s">
        <v>21</v>
      </c>
      <c r="F4" s="768" t="s">
        <v>32</v>
      </c>
      <c r="G4" s="768" t="s">
        <v>33</v>
      </c>
      <c r="I4" s="792" t="s">
        <v>905</v>
      </c>
      <c r="J4" s="948"/>
      <c r="K4" s="948"/>
      <c r="L4" s="948"/>
      <c r="M4" s="948"/>
    </row>
    <row r="5" spans="1:27" s="947" customFormat="1" ht="12" customHeight="1">
      <c r="B5" s="319" t="s">
        <v>802</v>
      </c>
      <c r="C5" s="769">
        <v>0.03</v>
      </c>
      <c r="D5" s="337">
        <f>SUM(D13:O24)</f>
        <v>0</v>
      </c>
      <c r="E5" s="337">
        <f>SUM(P13:AA24)</f>
        <v>0</v>
      </c>
      <c r="F5" s="337">
        <f>E5*(1+C5)</f>
        <v>0</v>
      </c>
      <c r="G5" s="337">
        <f>F5*(1+C5)</f>
        <v>0</v>
      </c>
      <c r="H5" s="946"/>
      <c r="I5" s="948" t="s">
        <v>910</v>
      </c>
      <c r="J5" s="948"/>
      <c r="K5" s="948"/>
      <c r="L5" s="948"/>
      <c r="M5" s="948"/>
      <c r="N5" s="946"/>
      <c r="O5" s="946"/>
      <c r="P5" s="946"/>
      <c r="Q5" s="946"/>
      <c r="R5" s="946"/>
      <c r="S5" s="946"/>
      <c r="T5" s="946"/>
      <c r="U5" s="946"/>
      <c r="V5" s="946"/>
      <c r="W5" s="946"/>
      <c r="X5" s="946"/>
      <c r="Y5" s="946"/>
      <c r="Z5" s="946"/>
      <c r="AA5" s="946"/>
    </row>
    <row r="6" spans="1:27" s="947" customFormat="1" ht="12" customHeight="1">
      <c r="B6" s="319" t="s">
        <v>606</v>
      </c>
      <c r="C6" s="769">
        <v>0.03</v>
      </c>
      <c r="D6" s="337">
        <f>SUM(D26:O33)</f>
        <v>0</v>
      </c>
      <c r="E6" s="337">
        <f>SUM(P26:AA33)</f>
        <v>0</v>
      </c>
      <c r="F6" s="337">
        <f>E6*(1+C6)</f>
        <v>0</v>
      </c>
      <c r="G6" s="337">
        <f>F6*(1+C6)</f>
        <v>0</v>
      </c>
      <c r="H6" s="946"/>
      <c r="I6" s="948" t="s">
        <v>911</v>
      </c>
      <c r="J6" s="948"/>
      <c r="K6" s="948"/>
      <c r="L6" s="948"/>
      <c r="M6" s="948"/>
      <c r="N6" s="946"/>
      <c r="O6" s="946"/>
      <c r="P6" s="946"/>
      <c r="Q6" s="946"/>
      <c r="R6" s="946"/>
      <c r="S6" s="946"/>
      <c r="T6" s="946"/>
      <c r="U6" s="946"/>
      <c r="V6" s="946"/>
      <c r="W6" s="946"/>
      <c r="X6" s="946"/>
      <c r="Y6" s="946"/>
      <c r="Z6" s="946"/>
      <c r="AA6" s="946"/>
    </row>
    <row r="7" spans="1:27" s="947" customFormat="1" ht="12" customHeight="1">
      <c r="B7" s="319" t="s">
        <v>608</v>
      </c>
      <c r="C7" s="769">
        <v>0.03</v>
      </c>
      <c r="D7" s="337">
        <f>SUM(D35:O51)</f>
        <v>0</v>
      </c>
      <c r="E7" s="337">
        <f>SUM(P35:AA51)</f>
        <v>0</v>
      </c>
      <c r="F7" s="337">
        <f>E7*(1+C7)</f>
        <v>0</v>
      </c>
      <c r="G7" s="337">
        <f>F7*(1+C7)</f>
        <v>0</v>
      </c>
      <c r="H7" s="946"/>
      <c r="I7" s="948"/>
      <c r="J7" s="948"/>
      <c r="K7" s="948"/>
      <c r="L7" s="948"/>
      <c r="M7" s="948"/>
      <c r="N7" s="946"/>
      <c r="O7" s="946"/>
      <c r="P7" s="946"/>
      <c r="Q7" s="946"/>
      <c r="R7" s="946"/>
      <c r="S7" s="946"/>
      <c r="T7" s="946"/>
      <c r="U7" s="946"/>
      <c r="V7" s="946"/>
      <c r="W7" s="946"/>
      <c r="X7" s="946"/>
      <c r="Y7" s="946"/>
      <c r="Z7" s="946"/>
      <c r="AA7" s="946"/>
    </row>
    <row r="8" spans="1:27" ht="12" customHeight="1">
      <c r="B8" s="439" t="s">
        <v>591</v>
      </c>
      <c r="C8" s="324"/>
      <c r="D8" s="770">
        <f>SUM(D5:D7)</f>
        <v>0</v>
      </c>
      <c r="E8" s="770">
        <f>SUM(E5:E7)</f>
        <v>0</v>
      </c>
      <c r="F8" s="770">
        <f>SUM(F5:F7)</f>
        <v>0</v>
      </c>
      <c r="G8" s="770">
        <f>SUM(G5:G7)</f>
        <v>0</v>
      </c>
      <c r="I8" s="948"/>
      <c r="J8" s="948"/>
      <c r="K8" s="948"/>
      <c r="L8" s="948"/>
      <c r="M8" s="948"/>
    </row>
    <row r="9" spans="1:27" ht="12" customHeight="1">
      <c r="C9" s="791"/>
      <c r="D9" s="284"/>
      <c r="E9" s="284"/>
      <c r="F9" s="284"/>
      <c r="G9" s="284"/>
      <c r="H9" s="284"/>
      <c r="I9" s="284"/>
      <c r="J9" s="284"/>
      <c r="L9" s="284"/>
      <c r="M9" s="284"/>
      <c r="N9" s="284"/>
      <c r="O9" s="284"/>
      <c r="P9" s="284"/>
      <c r="Q9" s="284"/>
      <c r="R9" s="284"/>
      <c r="S9" s="284"/>
      <c r="T9" s="284"/>
      <c r="U9" s="284"/>
      <c r="V9" s="284"/>
      <c r="W9" s="284"/>
      <c r="X9" s="284"/>
      <c r="Y9" s="284"/>
      <c r="Z9" s="284"/>
      <c r="AA9" s="284"/>
    </row>
    <row r="10" spans="1:27" ht="12" customHeight="1">
      <c r="A10" s="3"/>
      <c r="B10" s="792" t="s">
        <v>763</v>
      </c>
      <c r="C10" s="793"/>
      <c r="D10" s="794" t="s">
        <v>31</v>
      </c>
      <c r="E10" s="638"/>
      <c r="F10" s="638"/>
      <c r="G10" s="638"/>
      <c r="H10" s="638"/>
      <c r="I10" s="638"/>
      <c r="J10" s="638"/>
      <c r="K10" s="638"/>
      <c r="L10" s="638"/>
      <c r="M10" s="638"/>
      <c r="N10" s="638"/>
      <c r="O10" s="795"/>
      <c r="P10" s="458" t="s">
        <v>21</v>
      </c>
      <c r="Q10" s="638"/>
      <c r="R10" s="638"/>
      <c r="S10" s="638"/>
      <c r="T10" s="638"/>
      <c r="U10" s="638"/>
      <c r="V10" s="638"/>
      <c r="W10" s="638"/>
      <c r="X10" s="638"/>
      <c r="Y10" s="638"/>
      <c r="Z10" s="638"/>
      <c r="AA10" s="638"/>
    </row>
    <row r="11" spans="1:27" ht="12" customHeight="1">
      <c r="B11" s="951" t="s">
        <v>723</v>
      </c>
      <c r="C11" s="796" t="s">
        <v>65</v>
      </c>
      <c r="D11" s="1312">
        <f>'2 yr monthly cash flow'!B8</f>
        <v>6</v>
      </c>
      <c r="E11" s="797">
        <f>'2 yr monthly cash flow'!C8</f>
        <v>7</v>
      </c>
      <c r="F11" s="797">
        <f>'2 yr monthly cash flow'!D8</f>
        <v>8</v>
      </c>
      <c r="G11" s="797">
        <f>'2 yr monthly cash flow'!E8</f>
        <v>9</v>
      </c>
      <c r="H11" s="797">
        <f>'2 yr monthly cash flow'!F8</f>
        <v>10</v>
      </c>
      <c r="I11" s="797">
        <f>'2 yr monthly cash flow'!G8</f>
        <v>11</v>
      </c>
      <c r="J11" s="797">
        <f>'2 yr monthly cash flow'!H8</f>
        <v>12</v>
      </c>
      <c r="K11" s="797">
        <f>'2 yr monthly cash flow'!I8</f>
        <v>1</v>
      </c>
      <c r="L11" s="797">
        <f>'2 yr monthly cash flow'!J8</f>
        <v>2</v>
      </c>
      <c r="M11" s="797">
        <f>'2 yr monthly cash flow'!K8</f>
        <v>3</v>
      </c>
      <c r="N11" s="797">
        <f>'2 yr monthly cash flow'!L8</f>
        <v>4</v>
      </c>
      <c r="O11" s="797">
        <f>'2 yr monthly cash flow'!M8</f>
        <v>5</v>
      </c>
      <c r="P11" s="797">
        <f>'2 yr monthly cash flow'!N8</f>
        <v>6</v>
      </c>
      <c r="Q11" s="797">
        <f>'2 yr monthly cash flow'!O8</f>
        <v>7</v>
      </c>
      <c r="R11" s="797">
        <f>'2 yr monthly cash flow'!P8</f>
        <v>8</v>
      </c>
      <c r="S11" s="797">
        <f>'2 yr monthly cash flow'!Q8</f>
        <v>9</v>
      </c>
      <c r="T11" s="797">
        <f>'2 yr monthly cash flow'!R8</f>
        <v>10</v>
      </c>
      <c r="U11" s="797">
        <f>'2 yr monthly cash flow'!S8</f>
        <v>11</v>
      </c>
      <c r="V11" s="797">
        <f>'2 yr monthly cash flow'!T8</f>
        <v>12</v>
      </c>
      <c r="W11" s="797">
        <f>'2 yr monthly cash flow'!U8</f>
        <v>1</v>
      </c>
      <c r="X11" s="797">
        <f>'2 yr monthly cash flow'!V8</f>
        <v>2</v>
      </c>
      <c r="Y11" s="797">
        <f>'2 yr monthly cash flow'!W8</f>
        <v>3</v>
      </c>
      <c r="Z11" s="797">
        <f>'2 yr monthly cash flow'!X8</f>
        <v>4</v>
      </c>
      <c r="AA11" s="797">
        <f>'2 yr monthly cash flow'!Y8</f>
        <v>5</v>
      </c>
    </row>
    <row r="12" spans="1:27" s="272" customFormat="1" ht="12" customHeight="1">
      <c r="B12" s="952" t="s">
        <v>601</v>
      </c>
      <c r="C12" s="953"/>
      <c r="D12" s="954"/>
      <c r="E12" s="955"/>
      <c r="F12" s="955"/>
      <c r="G12" s="955"/>
      <c r="H12" s="955"/>
      <c r="I12" s="955"/>
      <c r="J12" s="955"/>
      <c r="K12" s="956"/>
      <c r="L12" s="955"/>
      <c r="M12" s="955"/>
      <c r="N12" s="955"/>
      <c r="O12" s="957"/>
      <c r="P12" s="954"/>
      <c r="Q12" s="955"/>
      <c r="R12" s="955"/>
      <c r="S12" s="955"/>
      <c r="T12" s="955"/>
      <c r="U12" s="955"/>
      <c r="V12" s="955"/>
      <c r="W12" s="955"/>
      <c r="X12" s="955"/>
      <c r="Y12" s="955"/>
      <c r="Z12" s="955"/>
      <c r="AA12" s="955"/>
    </row>
    <row r="13" spans="1:27" ht="12" customHeight="1">
      <c r="B13" s="888" t="s">
        <v>602</v>
      </c>
      <c r="C13" s="949"/>
      <c r="D13" s="798"/>
      <c r="E13" s="799"/>
      <c r="F13" s="799"/>
      <c r="G13" s="799"/>
      <c r="H13" s="799"/>
      <c r="I13" s="799"/>
      <c r="J13" s="799"/>
      <c r="K13" s="498"/>
      <c r="L13" s="799"/>
      <c r="M13" s="799"/>
      <c r="N13" s="799"/>
      <c r="O13" s="800"/>
      <c r="P13" s="798"/>
      <c r="Q13" s="799"/>
      <c r="R13" s="799"/>
      <c r="S13" s="799"/>
      <c r="T13" s="799"/>
      <c r="U13" s="799"/>
      <c r="V13" s="799"/>
      <c r="W13" s="799"/>
      <c r="X13" s="799"/>
      <c r="Y13" s="799"/>
      <c r="Z13" s="799"/>
      <c r="AA13" s="799"/>
    </row>
    <row r="14" spans="1:27" ht="12" customHeight="1">
      <c r="B14" s="888" t="s">
        <v>603</v>
      </c>
      <c r="C14" s="949"/>
      <c r="D14" s="798"/>
      <c r="E14" s="799"/>
      <c r="F14" s="799"/>
      <c r="G14" s="799"/>
      <c r="H14" s="799"/>
      <c r="I14" s="799"/>
      <c r="J14" s="799"/>
      <c r="K14" s="498"/>
      <c r="L14" s="799"/>
      <c r="M14" s="799"/>
      <c r="N14" s="799"/>
      <c r="O14" s="800"/>
      <c r="P14" s="798"/>
      <c r="Q14" s="799"/>
      <c r="R14" s="799"/>
      <c r="S14" s="799"/>
      <c r="T14" s="799"/>
      <c r="U14" s="799"/>
      <c r="V14" s="799"/>
      <c r="W14" s="799"/>
      <c r="X14" s="799"/>
      <c r="Y14" s="799"/>
      <c r="Z14" s="799"/>
      <c r="AA14" s="799"/>
    </row>
    <row r="15" spans="1:27" ht="12" customHeight="1">
      <c r="B15" s="888" t="s">
        <v>604</v>
      </c>
      <c r="C15" s="949"/>
      <c r="D15" s="798"/>
      <c r="E15" s="799"/>
      <c r="F15" s="799"/>
      <c r="G15" s="799"/>
      <c r="H15" s="799"/>
      <c r="I15" s="799"/>
      <c r="J15" s="799"/>
      <c r="K15" s="498"/>
      <c r="L15" s="799"/>
      <c r="M15" s="799"/>
      <c r="N15" s="799"/>
      <c r="O15" s="800"/>
      <c r="P15" s="798"/>
      <c r="Q15" s="799"/>
      <c r="R15" s="799"/>
      <c r="S15" s="799"/>
      <c r="T15" s="799"/>
      <c r="U15" s="799"/>
      <c r="V15" s="799"/>
      <c r="W15" s="799"/>
      <c r="X15" s="799"/>
      <c r="Y15" s="799"/>
      <c r="Z15" s="799"/>
      <c r="AA15" s="799"/>
    </row>
    <row r="16" spans="1:27" ht="12" customHeight="1">
      <c r="B16" s="888" t="s">
        <v>271</v>
      </c>
      <c r="C16" s="949"/>
      <c r="D16" s="798"/>
      <c r="E16" s="799"/>
      <c r="F16" s="799"/>
      <c r="G16" s="799"/>
      <c r="H16" s="799"/>
      <c r="I16" s="799"/>
      <c r="J16" s="799"/>
      <c r="K16" s="498"/>
      <c r="L16" s="799"/>
      <c r="M16" s="799"/>
      <c r="N16" s="799"/>
      <c r="O16" s="800"/>
      <c r="P16" s="798"/>
      <c r="Q16" s="799"/>
      <c r="R16" s="799"/>
      <c r="S16" s="799"/>
      <c r="T16" s="799"/>
      <c r="U16" s="799"/>
      <c r="V16" s="799"/>
      <c r="W16" s="799"/>
      <c r="X16" s="799"/>
      <c r="Y16" s="799"/>
      <c r="Z16" s="799"/>
      <c r="AA16" s="799"/>
    </row>
    <row r="17" spans="2:27" ht="12" customHeight="1">
      <c r="B17" s="901" t="s">
        <v>605</v>
      </c>
      <c r="C17" s="949"/>
      <c r="D17" s="798"/>
      <c r="E17" s="799"/>
      <c r="F17" s="799"/>
      <c r="G17" s="799"/>
      <c r="H17" s="799"/>
      <c r="I17" s="799"/>
      <c r="J17" s="799"/>
      <c r="K17" s="498"/>
      <c r="L17" s="799"/>
      <c r="M17" s="799"/>
      <c r="N17" s="799"/>
      <c r="O17" s="800"/>
      <c r="P17" s="798"/>
      <c r="Q17" s="799"/>
      <c r="R17" s="799"/>
      <c r="S17" s="799"/>
      <c r="T17" s="799"/>
      <c r="U17" s="799"/>
      <c r="V17" s="799"/>
      <c r="W17" s="799"/>
      <c r="X17" s="799"/>
      <c r="Y17" s="799"/>
      <c r="Z17" s="799"/>
      <c r="AA17" s="799"/>
    </row>
    <row r="18" spans="2:27" ht="12" customHeight="1">
      <c r="B18" s="901" t="s">
        <v>377</v>
      </c>
      <c r="C18" s="949"/>
      <c r="D18" s="798"/>
      <c r="E18" s="799"/>
      <c r="F18" s="799"/>
      <c r="G18" s="799"/>
      <c r="H18" s="799"/>
      <c r="I18" s="799"/>
      <c r="J18" s="799"/>
      <c r="K18" s="498"/>
      <c r="L18" s="799"/>
      <c r="M18" s="799"/>
      <c r="N18" s="799"/>
      <c r="O18" s="800"/>
      <c r="P18" s="798"/>
      <c r="Q18" s="799"/>
      <c r="R18" s="799"/>
      <c r="S18" s="799"/>
      <c r="T18" s="799"/>
      <c r="U18" s="799"/>
      <c r="V18" s="799"/>
      <c r="W18" s="799"/>
      <c r="X18" s="799"/>
      <c r="Y18" s="799"/>
      <c r="Z18" s="799"/>
      <c r="AA18" s="799"/>
    </row>
    <row r="19" spans="2:27" ht="12" customHeight="1">
      <c r="B19" s="901" t="s">
        <v>381</v>
      </c>
      <c r="C19" s="949"/>
      <c r="D19" s="798"/>
      <c r="E19" s="799"/>
      <c r="F19" s="799"/>
      <c r="G19" s="801"/>
      <c r="H19" s="799"/>
      <c r="I19" s="799"/>
      <c r="J19" s="799"/>
      <c r="K19" s="498"/>
      <c r="L19" s="799"/>
      <c r="M19" s="799"/>
      <c r="N19" s="799"/>
      <c r="O19" s="800"/>
      <c r="P19" s="798"/>
      <c r="Q19" s="799"/>
      <c r="R19" s="799"/>
      <c r="S19" s="799"/>
      <c r="T19" s="799"/>
      <c r="U19" s="799"/>
      <c r="V19" s="799"/>
      <c r="W19" s="799"/>
      <c r="X19" s="799"/>
      <c r="Y19" s="799"/>
      <c r="Z19" s="799"/>
      <c r="AA19" s="799"/>
    </row>
    <row r="20" spans="2:27" ht="12" customHeight="1">
      <c r="B20" s="901" t="s">
        <v>383</v>
      </c>
      <c r="C20" s="949"/>
      <c r="D20" s="798"/>
      <c r="E20" s="802"/>
      <c r="F20" s="799"/>
      <c r="G20" s="803"/>
      <c r="H20" s="799"/>
      <c r="I20" s="799"/>
      <c r="J20" s="799"/>
      <c r="K20" s="498"/>
      <c r="L20" s="799"/>
      <c r="M20" s="799"/>
      <c r="N20" s="799"/>
      <c r="O20" s="800"/>
      <c r="P20" s="798"/>
      <c r="Q20" s="799"/>
      <c r="R20" s="799"/>
      <c r="S20" s="799"/>
      <c r="T20" s="799"/>
      <c r="U20" s="799"/>
      <c r="V20" s="799"/>
      <c r="W20" s="799"/>
      <c r="X20" s="799"/>
      <c r="Y20" s="799"/>
      <c r="Z20" s="799"/>
      <c r="AA20" s="799"/>
    </row>
    <row r="21" spans="2:27" ht="12" customHeight="1">
      <c r="B21" s="901" t="s">
        <v>385</v>
      </c>
      <c r="C21" s="949"/>
      <c r="D21" s="804"/>
      <c r="E21" s="805"/>
      <c r="F21" s="806"/>
      <c r="G21" s="799"/>
      <c r="H21" s="799"/>
      <c r="I21" s="799"/>
      <c r="J21" s="799"/>
      <c r="K21" s="498"/>
      <c r="L21" s="799"/>
      <c r="M21" s="799"/>
      <c r="N21" s="799"/>
      <c r="O21" s="800"/>
      <c r="P21" s="798"/>
      <c r="Q21" s="799"/>
      <c r="R21" s="799"/>
      <c r="S21" s="799"/>
      <c r="T21" s="799"/>
      <c r="U21" s="799"/>
      <c r="V21" s="799"/>
      <c r="W21" s="799"/>
      <c r="X21" s="799"/>
      <c r="Y21" s="799"/>
      <c r="Z21" s="799"/>
      <c r="AA21" s="799"/>
    </row>
    <row r="22" spans="2:27" ht="12" customHeight="1">
      <c r="B22" s="901" t="s">
        <v>387</v>
      </c>
      <c r="C22" s="949"/>
      <c r="D22" s="798"/>
      <c r="E22" s="803"/>
      <c r="F22" s="799"/>
      <c r="G22" s="799"/>
      <c r="H22" s="799"/>
      <c r="I22" s="799"/>
      <c r="J22" s="799"/>
      <c r="K22" s="498"/>
      <c r="L22" s="799"/>
      <c r="M22" s="799"/>
      <c r="N22" s="799"/>
      <c r="O22" s="800"/>
      <c r="P22" s="798"/>
      <c r="Q22" s="799"/>
      <c r="R22" s="799"/>
      <c r="S22" s="799"/>
      <c r="T22" s="799"/>
      <c r="U22" s="799"/>
      <c r="V22" s="799"/>
      <c r="W22" s="799"/>
      <c r="X22" s="799"/>
      <c r="Y22" s="799"/>
      <c r="Z22" s="799"/>
      <c r="AA22" s="799"/>
    </row>
    <row r="23" spans="2:27" ht="12" customHeight="1">
      <c r="B23" s="901" t="s">
        <v>389</v>
      </c>
      <c r="C23" s="949"/>
      <c r="D23" s="798"/>
      <c r="E23" s="799"/>
      <c r="F23" s="799"/>
      <c r="G23" s="799"/>
      <c r="H23" s="799"/>
      <c r="I23" s="799"/>
      <c r="J23" s="799"/>
      <c r="K23" s="498"/>
      <c r="L23" s="799"/>
      <c r="M23" s="799"/>
      <c r="N23" s="799"/>
      <c r="O23" s="800"/>
      <c r="P23" s="798"/>
      <c r="Q23" s="799"/>
      <c r="R23" s="799"/>
      <c r="S23" s="799"/>
      <c r="T23" s="799"/>
      <c r="U23" s="799"/>
      <c r="V23" s="799"/>
      <c r="W23" s="799"/>
      <c r="X23" s="799"/>
      <c r="Y23" s="799"/>
      <c r="Z23" s="799"/>
      <c r="AA23" s="799"/>
    </row>
    <row r="24" spans="2:27" ht="12" customHeight="1">
      <c r="B24" s="901" t="s">
        <v>393</v>
      </c>
      <c r="C24" s="949"/>
      <c r="D24" s="798"/>
      <c r="E24" s="799"/>
      <c r="F24" s="799"/>
      <c r="G24" s="799"/>
      <c r="H24" s="799"/>
      <c r="I24" s="799"/>
      <c r="J24" s="799"/>
      <c r="K24" s="498"/>
      <c r="L24" s="799"/>
      <c r="M24" s="799"/>
      <c r="N24" s="799"/>
      <c r="O24" s="800"/>
      <c r="P24" s="798"/>
      <c r="Q24" s="799"/>
      <c r="R24" s="799"/>
      <c r="S24" s="799"/>
      <c r="T24" s="799"/>
      <c r="U24" s="799"/>
      <c r="V24" s="799"/>
      <c r="W24" s="799"/>
      <c r="X24" s="799"/>
      <c r="Y24" s="799"/>
      <c r="Z24" s="799"/>
      <c r="AA24" s="799"/>
    </row>
    <row r="25" spans="2:27" s="272" customFormat="1" ht="12" customHeight="1">
      <c r="B25" s="952" t="s">
        <v>606</v>
      </c>
      <c r="C25" s="953"/>
      <c r="D25" s="954"/>
      <c r="E25" s="955"/>
      <c r="F25" s="955"/>
      <c r="G25" s="955"/>
      <c r="H25" s="955"/>
      <c r="I25" s="955"/>
      <c r="J25" s="955"/>
      <c r="K25" s="956"/>
      <c r="L25" s="955"/>
      <c r="M25" s="955"/>
      <c r="N25" s="955"/>
      <c r="O25" s="957"/>
      <c r="P25" s="954"/>
      <c r="Q25" s="955"/>
      <c r="R25" s="955"/>
      <c r="S25" s="955"/>
      <c r="T25" s="955"/>
      <c r="U25" s="955"/>
      <c r="V25" s="955"/>
      <c r="W25" s="955"/>
      <c r="X25" s="955"/>
      <c r="Y25" s="955"/>
      <c r="Z25" s="955"/>
      <c r="AA25" s="955"/>
    </row>
    <row r="26" spans="2:27" ht="12" customHeight="1">
      <c r="B26" s="896" t="s">
        <v>324</v>
      </c>
      <c r="C26" s="949"/>
      <c r="D26" s="798"/>
      <c r="E26" s="799"/>
      <c r="F26" s="799"/>
      <c r="G26" s="799"/>
      <c r="H26" s="799"/>
      <c r="I26" s="799"/>
      <c r="J26" s="799"/>
      <c r="K26" s="498"/>
      <c r="L26" s="799"/>
      <c r="M26" s="799"/>
      <c r="N26" s="799"/>
      <c r="O26" s="800"/>
      <c r="P26" s="798"/>
      <c r="Q26" s="799"/>
      <c r="R26" s="799"/>
      <c r="S26" s="799"/>
      <c r="T26" s="799"/>
      <c r="U26" s="799"/>
      <c r="V26" s="799"/>
      <c r="W26" s="799"/>
      <c r="X26" s="799"/>
      <c r="Y26" s="799"/>
      <c r="Z26" s="799"/>
      <c r="AA26" s="799"/>
    </row>
    <row r="27" spans="2:27" ht="12" customHeight="1">
      <c r="B27" s="896" t="s">
        <v>607</v>
      </c>
      <c r="C27" s="949"/>
      <c r="D27" s="798"/>
      <c r="E27" s="799"/>
      <c r="F27" s="799"/>
      <c r="G27" s="799"/>
      <c r="H27" s="799"/>
      <c r="I27" s="799"/>
      <c r="J27" s="799"/>
      <c r="K27" s="498"/>
      <c r="L27" s="799"/>
      <c r="M27" s="799"/>
      <c r="N27" s="799"/>
      <c r="O27" s="800"/>
      <c r="P27" s="798"/>
      <c r="Q27" s="799"/>
      <c r="R27" s="799"/>
      <c r="S27" s="799"/>
      <c r="T27" s="799"/>
      <c r="U27" s="799"/>
      <c r="V27" s="799"/>
      <c r="W27" s="799"/>
      <c r="X27" s="799"/>
      <c r="Y27" s="799"/>
      <c r="Z27" s="799"/>
      <c r="AA27" s="799"/>
    </row>
    <row r="28" spans="2:27" ht="12" customHeight="1">
      <c r="B28" s="896" t="s">
        <v>330</v>
      </c>
      <c r="C28" s="949"/>
      <c r="D28" s="798"/>
      <c r="E28" s="799"/>
      <c r="F28" s="799"/>
      <c r="G28" s="799"/>
      <c r="H28" s="799"/>
      <c r="I28" s="799"/>
      <c r="J28" s="799"/>
      <c r="K28" s="498"/>
      <c r="L28" s="799"/>
      <c r="M28" s="799"/>
      <c r="N28" s="799"/>
      <c r="O28" s="800"/>
      <c r="P28" s="798"/>
      <c r="Q28" s="799"/>
      <c r="R28" s="799"/>
      <c r="S28" s="799"/>
      <c r="T28" s="799"/>
      <c r="U28" s="799"/>
      <c r="V28" s="799"/>
      <c r="W28" s="799"/>
      <c r="X28" s="799"/>
      <c r="Y28" s="799"/>
      <c r="Z28" s="799"/>
      <c r="AA28" s="799"/>
    </row>
    <row r="29" spans="2:27" ht="12" customHeight="1">
      <c r="B29" s="896" t="s">
        <v>332</v>
      </c>
      <c r="C29" s="949"/>
      <c r="D29" s="798"/>
      <c r="E29" s="799"/>
      <c r="F29" s="799"/>
      <c r="G29" s="799"/>
      <c r="H29" s="799"/>
      <c r="I29" s="799"/>
      <c r="J29" s="799"/>
      <c r="K29" s="498"/>
      <c r="L29" s="799"/>
      <c r="M29" s="799"/>
      <c r="N29" s="799"/>
      <c r="O29" s="800"/>
      <c r="P29" s="798"/>
      <c r="Q29" s="799"/>
      <c r="R29" s="799"/>
      <c r="S29" s="799"/>
      <c r="T29" s="799"/>
      <c r="U29" s="799"/>
      <c r="V29" s="799"/>
      <c r="W29" s="498"/>
      <c r="X29" s="799"/>
      <c r="Y29" s="799"/>
      <c r="Z29" s="799"/>
      <c r="AA29" s="799"/>
    </row>
    <row r="30" spans="2:27" ht="12" customHeight="1">
      <c r="B30" s="896" t="s">
        <v>334</v>
      </c>
      <c r="C30" s="949"/>
      <c r="D30" s="798"/>
      <c r="E30" s="799"/>
      <c r="F30" s="799"/>
      <c r="G30" s="799"/>
      <c r="H30" s="799"/>
      <c r="I30" s="799"/>
      <c r="J30" s="799"/>
      <c r="K30" s="498"/>
      <c r="L30" s="799"/>
      <c r="M30" s="799"/>
      <c r="N30" s="799"/>
      <c r="O30" s="800"/>
      <c r="P30" s="798"/>
      <c r="Q30" s="799"/>
      <c r="R30" s="799"/>
      <c r="S30" s="799"/>
      <c r="T30" s="799"/>
      <c r="U30" s="799"/>
      <c r="V30" s="799"/>
      <c r="W30" s="799"/>
      <c r="X30" s="799"/>
      <c r="Y30" s="799"/>
      <c r="Z30" s="799"/>
      <c r="AA30" s="799"/>
    </row>
    <row r="31" spans="2:27" ht="12" customHeight="1">
      <c r="B31" s="896" t="s">
        <v>336</v>
      </c>
      <c r="C31" s="949"/>
      <c r="D31" s="798"/>
      <c r="E31" s="799"/>
      <c r="F31" s="799"/>
      <c r="G31" s="799"/>
      <c r="H31" s="799"/>
      <c r="I31" s="799"/>
      <c r="J31" s="799"/>
      <c r="K31" s="498"/>
      <c r="L31" s="799"/>
      <c r="M31" s="799"/>
      <c r="N31" s="799"/>
      <c r="O31" s="800"/>
      <c r="P31" s="798"/>
      <c r="Q31" s="799"/>
      <c r="R31" s="799"/>
      <c r="S31" s="799"/>
      <c r="T31" s="799"/>
      <c r="U31" s="799"/>
      <c r="V31" s="799"/>
      <c r="W31" s="799"/>
      <c r="X31" s="799"/>
      <c r="Y31" s="799"/>
      <c r="Z31" s="799"/>
      <c r="AA31" s="799"/>
    </row>
    <row r="32" spans="2:27" ht="12" customHeight="1">
      <c r="B32" s="901" t="s">
        <v>338</v>
      </c>
      <c r="C32" s="949"/>
      <c r="D32" s="798"/>
      <c r="E32" s="799"/>
      <c r="F32" s="799"/>
      <c r="G32" s="799"/>
      <c r="H32" s="799"/>
      <c r="I32" s="799"/>
      <c r="J32" s="799"/>
      <c r="K32" s="498"/>
      <c r="L32" s="799"/>
      <c r="M32" s="799"/>
      <c r="N32" s="799"/>
      <c r="O32" s="800"/>
      <c r="P32" s="798"/>
      <c r="Q32" s="799"/>
      <c r="R32" s="799"/>
      <c r="S32" s="799"/>
      <c r="T32" s="799"/>
      <c r="U32" s="799"/>
      <c r="V32" s="799"/>
      <c r="W32" s="799"/>
      <c r="X32" s="799"/>
      <c r="Y32" s="799"/>
      <c r="Z32" s="799"/>
      <c r="AA32" s="799"/>
    </row>
    <row r="33" spans="2:27" ht="12" customHeight="1">
      <c r="B33" s="901" t="s">
        <v>340</v>
      </c>
      <c r="C33" s="949"/>
      <c r="D33" s="798"/>
      <c r="E33" s="799"/>
      <c r="F33" s="799"/>
      <c r="G33" s="799"/>
      <c r="H33" s="799"/>
      <c r="I33" s="799"/>
      <c r="J33" s="799"/>
      <c r="K33" s="498"/>
      <c r="L33" s="799"/>
      <c r="M33" s="799"/>
      <c r="N33" s="799"/>
      <c r="O33" s="800"/>
      <c r="P33" s="798"/>
      <c r="Q33" s="799"/>
      <c r="R33" s="799"/>
      <c r="S33" s="799"/>
      <c r="T33" s="799"/>
      <c r="U33" s="799"/>
      <c r="V33" s="799"/>
      <c r="W33" s="799"/>
      <c r="X33" s="799"/>
      <c r="Y33" s="799"/>
      <c r="Z33" s="799"/>
      <c r="AA33" s="799"/>
    </row>
    <row r="34" spans="2:27" s="272" customFormat="1" ht="12" customHeight="1">
      <c r="B34" s="952" t="s">
        <v>608</v>
      </c>
      <c r="C34" s="953"/>
      <c r="D34" s="954"/>
      <c r="E34" s="955"/>
      <c r="F34" s="955"/>
      <c r="G34" s="955"/>
      <c r="H34" s="955"/>
      <c r="I34" s="955"/>
      <c r="J34" s="955"/>
      <c r="K34" s="956"/>
      <c r="L34" s="955"/>
      <c r="M34" s="955"/>
      <c r="N34" s="955"/>
      <c r="O34" s="957"/>
      <c r="P34" s="954"/>
      <c r="Q34" s="955"/>
      <c r="R34" s="955"/>
      <c r="S34" s="955"/>
      <c r="T34" s="955"/>
      <c r="U34" s="955"/>
      <c r="V34" s="955"/>
      <c r="W34" s="955"/>
      <c r="X34" s="955"/>
      <c r="Y34" s="955"/>
      <c r="Z34" s="955"/>
      <c r="AA34" s="955"/>
    </row>
    <row r="35" spans="2:27" ht="12" customHeight="1">
      <c r="B35" s="901" t="s">
        <v>348</v>
      </c>
      <c r="C35" s="949"/>
      <c r="D35" s="798"/>
      <c r="E35" s="799"/>
      <c r="F35" s="799"/>
      <c r="G35" s="799"/>
      <c r="H35" s="799"/>
      <c r="I35" s="799"/>
      <c r="J35" s="799"/>
      <c r="K35" s="498"/>
      <c r="L35" s="799"/>
      <c r="M35" s="799"/>
      <c r="N35" s="799"/>
      <c r="O35" s="800"/>
      <c r="P35" s="798"/>
      <c r="Q35" s="799"/>
      <c r="R35" s="799"/>
      <c r="S35" s="799"/>
      <c r="T35" s="799"/>
      <c r="U35" s="799"/>
      <c r="V35" s="799"/>
      <c r="W35" s="799"/>
      <c r="X35" s="799"/>
      <c r="Y35" s="799"/>
      <c r="Z35" s="799"/>
      <c r="AA35" s="799"/>
    </row>
    <row r="36" spans="2:27" ht="12" customHeight="1">
      <c r="B36" s="901" t="s">
        <v>350</v>
      </c>
      <c r="C36" s="949"/>
      <c r="D36" s="798"/>
      <c r="E36" s="799"/>
      <c r="F36" s="799"/>
      <c r="G36" s="799"/>
      <c r="H36" s="799"/>
      <c r="I36" s="799"/>
      <c r="J36" s="799"/>
      <c r="K36" s="498"/>
      <c r="L36" s="799"/>
      <c r="M36" s="799"/>
      <c r="N36" s="799"/>
      <c r="O36" s="800"/>
      <c r="P36" s="798"/>
      <c r="Q36" s="799"/>
      <c r="R36" s="799"/>
      <c r="S36" s="799"/>
      <c r="T36" s="799"/>
      <c r="U36" s="799"/>
      <c r="V36" s="799"/>
      <c r="W36" s="799"/>
      <c r="X36" s="799"/>
      <c r="Y36" s="799"/>
      <c r="Z36" s="799"/>
      <c r="AA36" s="799"/>
    </row>
    <row r="37" spans="2:27" ht="12" customHeight="1">
      <c r="B37" s="901" t="s">
        <v>352</v>
      </c>
      <c r="C37" s="949"/>
      <c r="D37" s="798"/>
      <c r="E37" s="799"/>
      <c r="F37" s="799"/>
      <c r="G37" s="799"/>
      <c r="H37" s="799"/>
      <c r="I37" s="799"/>
      <c r="J37" s="799"/>
      <c r="K37" s="498"/>
      <c r="L37" s="799"/>
      <c r="M37" s="799"/>
      <c r="N37" s="799"/>
      <c r="O37" s="800"/>
      <c r="P37" s="798"/>
      <c r="Q37" s="799"/>
      <c r="R37" s="799"/>
      <c r="S37" s="799"/>
      <c r="T37" s="799"/>
      <c r="U37" s="799"/>
      <c r="V37" s="799"/>
      <c r="W37" s="799"/>
      <c r="X37" s="799"/>
      <c r="Y37" s="799"/>
      <c r="Z37" s="799"/>
      <c r="AA37" s="799"/>
    </row>
    <row r="38" spans="2:27" ht="12" customHeight="1">
      <c r="B38" s="901" t="s">
        <v>355</v>
      </c>
      <c r="C38" s="949"/>
      <c r="D38" s="798"/>
      <c r="E38" s="799"/>
      <c r="F38" s="799"/>
      <c r="G38" s="799"/>
      <c r="H38" s="799"/>
      <c r="I38" s="799"/>
      <c r="J38" s="799"/>
      <c r="K38" s="498"/>
      <c r="L38" s="799"/>
      <c r="M38" s="799"/>
      <c r="N38" s="799"/>
      <c r="O38" s="800"/>
      <c r="P38" s="798"/>
      <c r="Q38" s="799"/>
      <c r="R38" s="799"/>
      <c r="S38" s="799"/>
      <c r="T38" s="799"/>
      <c r="U38" s="799"/>
      <c r="V38" s="799"/>
      <c r="W38" s="799"/>
      <c r="X38" s="799"/>
      <c r="Y38" s="799"/>
      <c r="Z38" s="799"/>
      <c r="AA38" s="799"/>
    </row>
    <row r="39" spans="2:27" ht="12" customHeight="1">
      <c r="B39" s="901" t="s">
        <v>356</v>
      </c>
      <c r="C39" s="949"/>
      <c r="D39" s="798"/>
      <c r="E39" s="799"/>
      <c r="F39" s="799"/>
      <c r="G39" s="799"/>
      <c r="H39" s="799"/>
      <c r="I39" s="799"/>
      <c r="J39" s="799"/>
      <c r="K39" s="498"/>
      <c r="L39" s="799"/>
      <c r="M39" s="799"/>
      <c r="N39" s="799"/>
      <c r="O39" s="800"/>
      <c r="P39" s="798"/>
      <c r="Q39" s="799"/>
      <c r="R39" s="799"/>
      <c r="S39" s="799"/>
      <c r="T39" s="799"/>
      <c r="U39" s="799"/>
      <c r="V39" s="799"/>
      <c r="W39" s="799"/>
      <c r="X39" s="799"/>
      <c r="Y39" s="799"/>
      <c r="Z39" s="799"/>
      <c r="AA39" s="799"/>
    </row>
    <row r="40" spans="2:27" ht="12" customHeight="1">
      <c r="B40" s="901" t="s">
        <v>357</v>
      </c>
      <c r="C40" s="949"/>
      <c r="D40" s="798"/>
      <c r="E40" s="799"/>
      <c r="F40" s="799"/>
      <c r="G40" s="799"/>
      <c r="H40" s="799"/>
      <c r="I40" s="799"/>
      <c r="J40" s="799"/>
      <c r="K40" s="498"/>
      <c r="L40" s="799"/>
      <c r="M40" s="799"/>
      <c r="N40" s="799"/>
      <c r="O40" s="800"/>
      <c r="P40" s="798"/>
      <c r="Q40" s="799"/>
      <c r="R40" s="799"/>
      <c r="S40" s="799"/>
      <c r="T40" s="799"/>
      <c r="U40" s="799"/>
      <c r="V40" s="799"/>
      <c r="W40" s="799"/>
      <c r="X40" s="799"/>
      <c r="Y40" s="799"/>
      <c r="Z40" s="799"/>
      <c r="AA40" s="799"/>
    </row>
    <row r="41" spans="2:27" ht="12" customHeight="1">
      <c r="B41" s="901" t="s">
        <v>358</v>
      </c>
      <c r="C41" s="949"/>
      <c r="D41" s="798"/>
      <c r="E41" s="799"/>
      <c r="F41" s="799"/>
      <c r="G41" s="799"/>
      <c r="H41" s="799"/>
      <c r="I41" s="799"/>
      <c r="J41" s="799"/>
      <c r="K41" s="498"/>
      <c r="L41" s="799"/>
      <c r="M41" s="799"/>
      <c r="N41" s="799"/>
      <c r="O41" s="800"/>
      <c r="P41" s="798"/>
      <c r="Q41" s="799"/>
      <c r="R41" s="799"/>
      <c r="S41" s="799"/>
      <c r="T41" s="799"/>
      <c r="U41" s="799"/>
      <c r="V41" s="799"/>
      <c r="W41" s="799"/>
      <c r="X41" s="799"/>
      <c r="Y41" s="799"/>
      <c r="Z41" s="799"/>
      <c r="AA41" s="799"/>
    </row>
    <row r="42" spans="2:27" ht="12" customHeight="1">
      <c r="B42" s="901" t="s">
        <v>360</v>
      </c>
      <c r="C42" s="949"/>
      <c r="D42" s="798"/>
      <c r="E42" s="799"/>
      <c r="F42" s="799"/>
      <c r="G42" s="799"/>
      <c r="H42" s="799"/>
      <c r="I42" s="799"/>
      <c r="J42" s="799"/>
      <c r="K42" s="498"/>
      <c r="L42" s="799"/>
      <c r="M42" s="799"/>
      <c r="N42" s="799"/>
      <c r="O42" s="800"/>
      <c r="P42" s="798"/>
      <c r="Q42" s="799"/>
      <c r="R42" s="799"/>
      <c r="S42" s="799"/>
      <c r="T42" s="799"/>
      <c r="U42" s="799"/>
      <c r="V42" s="799"/>
      <c r="W42" s="799"/>
      <c r="X42" s="799"/>
      <c r="Y42" s="799"/>
      <c r="Z42" s="799"/>
      <c r="AA42" s="799"/>
    </row>
    <row r="43" spans="2:27" ht="12" customHeight="1">
      <c r="B43" s="901" t="s">
        <v>362</v>
      </c>
      <c r="C43" s="949"/>
      <c r="D43" s="798"/>
      <c r="E43" s="799"/>
      <c r="F43" s="799"/>
      <c r="G43" s="799"/>
      <c r="H43" s="799"/>
      <c r="I43" s="799"/>
      <c r="J43" s="799"/>
      <c r="K43" s="498"/>
      <c r="L43" s="799"/>
      <c r="M43" s="799"/>
      <c r="N43" s="799"/>
      <c r="O43" s="800"/>
      <c r="P43" s="798"/>
      <c r="Q43" s="799"/>
      <c r="R43" s="799"/>
      <c r="S43" s="799"/>
      <c r="T43" s="799"/>
      <c r="U43" s="799"/>
      <c r="V43" s="799"/>
      <c r="W43" s="799"/>
      <c r="X43" s="799"/>
      <c r="Y43" s="799"/>
      <c r="Z43" s="799"/>
      <c r="AA43" s="799"/>
    </row>
    <row r="44" spans="2:27" ht="12" customHeight="1">
      <c r="B44" s="901" t="s">
        <v>364</v>
      </c>
      <c r="C44" s="949"/>
      <c r="D44" s="798"/>
      <c r="E44" s="799"/>
      <c r="F44" s="799"/>
      <c r="G44" s="799"/>
      <c r="H44" s="799"/>
      <c r="I44" s="799"/>
      <c r="J44" s="799"/>
      <c r="K44" s="498"/>
      <c r="L44" s="799"/>
      <c r="M44" s="799"/>
      <c r="N44" s="799"/>
      <c r="O44" s="800"/>
      <c r="P44" s="798"/>
      <c r="Q44" s="799"/>
      <c r="R44" s="799"/>
      <c r="S44" s="799"/>
      <c r="T44" s="799"/>
      <c r="U44" s="799"/>
      <c r="V44" s="799"/>
      <c r="W44" s="799"/>
      <c r="X44" s="799"/>
      <c r="Y44" s="799"/>
      <c r="Z44" s="799"/>
      <c r="AA44" s="799"/>
    </row>
    <row r="45" spans="2:27" ht="12" customHeight="1">
      <c r="B45" s="901" t="s">
        <v>366</v>
      </c>
      <c r="C45" s="949"/>
      <c r="D45" s="798"/>
      <c r="E45" s="799"/>
      <c r="F45" s="799"/>
      <c r="G45" s="799"/>
      <c r="H45" s="799"/>
      <c r="I45" s="799"/>
      <c r="J45" s="799"/>
      <c r="K45" s="498"/>
      <c r="L45" s="799"/>
      <c r="M45" s="799"/>
      <c r="N45" s="799"/>
      <c r="O45" s="800"/>
      <c r="P45" s="798"/>
      <c r="Q45" s="799"/>
      <c r="R45" s="799"/>
      <c r="S45" s="799"/>
      <c r="T45" s="799"/>
      <c r="U45" s="799"/>
      <c r="V45" s="799"/>
      <c r="W45" s="799"/>
      <c r="X45" s="799"/>
      <c r="Y45" s="799"/>
      <c r="Z45" s="799"/>
      <c r="AA45" s="799"/>
    </row>
    <row r="46" spans="2:27" ht="12" customHeight="1">
      <c r="B46" s="888" t="s">
        <v>609</v>
      </c>
      <c r="C46" s="949"/>
      <c r="D46" s="798"/>
      <c r="E46" s="799"/>
      <c r="F46" s="799"/>
      <c r="G46" s="799"/>
      <c r="H46" s="799"/>
      <c r="I46" s="799"/>
      <c r="J46" s="799"/>
      <c r="K46" s="799"/>
      <c r="L46" s="799"/>
      <c r="M46" s="799"/>
      <c r="N46" s="799"/>
      <c r="O46" s="800"/>
      <c r="P46" s="798"/>
      <c r="Q46" s="799"/>
      <c r="R46" s="799"/>
      <c r="S46" s="799"/>
      <c r="T46" s="799"/>
      <c r="U46" s="799"/>
      <c r="V46" s="799"/>
      <c r="W46" s="799"/>
      <c r="X46" s="799"/>
      <c r="Y46" s="799"/>
      <c r="Z46" s="799"/>
      <c r="AA46" s="799"/>
    </row>
    <row r="47" spans="2:27" ht="12" customHeight="1">
      <c r="B47" s="888" t="s">
        <v>610</v>
      </c>
      <c r="C47" s="949"/>
      <c r="D47" s="798"/>
      <c r="E47" s="799"/>
      <c r="F47" s="799"/>
      <c r="G47" s="799"/>
      <c r="H47" s="799"/>
      <c r="I47" s="799"/>
      <c r="J47" s="799"/>
      <c r="K47" s="799"/>
      <c r="L47" s="799"/>
      <c r="M47" s="799"/>
      <c r="N47" s="799"/>
      <c r="O47" s="800"/>
      <c r="P47" s="798"/>
      <c r="Q47" s="799"/>
      <c r="R47" s="799"/>
      <c r="S47" s="799"/>
      <c r="T47" s="799"/>
      <c r="U47" s="799"/>
      <c r="V47" s="799"/>
      <c r="W47" s="799"/>
      <c r="X47" s="799"/>
      <c r="Y47" s="799"/>
      <c r="Z47" s="799"/>
      <c r="AA47" s="799"/>
    </row>
    <row r="48" spans="2:27" ht="12" customHeight="1">
      <c r="B48" s="888" t="s">
        <v>611</v>
      </c>
      <c r="C48" s="949"/>
      <c r="D48" s="798"/>
      <c r="E48" s="799"/>
      <c r="F48" s="799"/>
      <c r="G48" s="799"/>
      <c r="H48" s="799"/>
      <c r="I48" s="799"/>
      <c r="J48" s="799"/>
      <c r="K48" s="799"/>
      <c r="L48" s="799"/>
      <c r="M48" s="799"/>
      <c r="N48" s="799"/>
      <c r="O48" s="800"/>
      <c r="P48" s="798"/>
      <c r="Q48" s="799"/>
      <c r="R48" s="799"/>
      <c r="S48" s="799"/>
      <c r="T48" s="799"/>
      <c r="U48" s="799"/>
      <c r="V48" s="799"/>
      <c r="W48" s="799"/>
      <c r="X48" s="799"/>
      <c r="Y48" s="799"/>
      <c r="Z48" s="799"/>
      <c r="AA48" s="799"/>
    </row>
    <row r="49" spans="1:27" ht="12" customHeight="1">
      <c r="B49" s="888" t="s">
        <v>612</v>
      </c>
      <c r="C49" s="949"/>
      <c r="D49" s="798"/>
      <c r="E49" s="799"/>
      <c r="F49" s="799"/>
      <c r="G49" s="799"/>
      <c r="H49" s="799"/>
      <c r="I49" s="799"/>
      <c r="J49" s="799"/>
      <c r="K49" s="799"/>
      <c r="L49" s="799"/>
      <c r="M49" s="799"/>
      <c r="N49" s="799"/>
      <c r="O49" s="800"/>
      <c r="P49" s="798"/>
      <c r="Q49" s="799"/>
      <c r="R49" s="799"/>
      <c r="S49" s="799"/>
      <c r="T49" s="799"/>
      <c r="U49" s="799"/>
      <c r="V49" s="799"/>
      <c r="W49" s="799"/>
      <c r="X49" s="799"/>
      <c r="Y49" s="799"/>
      <c r="Z49" s="799"/>
      <c r="AA49" s="799"/>
    </row>
    <row r="50" spans="1:27" ht="12" customHeight="1">
      <c r="B50" s="888"/>
      <c r="C50" s="949"/>
      <c r="D50" s="798"/>
      <c r="E50" s="799"/>
      <c r="F50" s="799"/>
      <c r="G50" s="799"/>
      <c r="H50" s="799"/>
      <c r="I50" s="799"/>
      <c r="J50" s="799"/>
      <c r="K50" s="799"/>
      <c r="L50" s="799"/>
      <c r="M50" s="799"/>
      <c r="N50" s="799"/>
      <c r="O50" s="800"/>
      <c r="P50" s="798"/>
      <c r="Q50" s="799"/>
      <c r="R50" s="799"/>
      <c r="S50" s="799"/>
      <c r="T50" s="799"/>
      <c r="U50" s="799"/>
      <c r="V50" s="799"/>
      <c r="W50" s="799"/>
      <c r="X50" s="799"/>
      <c r="Y50" s="799"/>
      <c r="Z50" s="799"/>
      <c r="AA50" s="799"/>
    </row>
    <row r="51" spans="1:27" ht="12" customHeight="1">
      <c r="B51" s="888"/>
      <c r="C51" s="949"/>
      <c r="D51" s="798"/>
      <c r="E51" s="799"/>
      <c r="F51" s="799"/>
      <c r="G51" s="799"/>
      <c r="H51" s="799"/>
      <c r="I51" s="799"/>
      <c r="J51" s="799"/>
      <c r="K51" s="799"/>
      <c r="L51" s="799"/>
      <c r="M51" s="799"/>
      <c r="N51" s="799"/>
      <c r="O51" s="800"/>
      <c r="P51" s="798"/>
      <c r="Q51" s="799"/>
      <c r="R51" s="799"/>
      <c r="S51" s="799"/>
      <c r="T51" s="799"/>
      <c r="U51" s="799"/>
      <c r="V51" s="799"/>
      <c r="W51" s="799"/>
      <c r="X51" s="799"/>
      <c r="Y51" s="799"/>
      <c r="Z51" s="799"/>
      <c r="AA51" s="799"/>
    </row>
    <row r="52" spans="1:27" ht="12" customHeight="1">
      <c r="A52" s="67"/>
      <c r="B52" s="890" t="s">
        <v>289</v>
      </c>
      <c r="C52" s="950"/>
      <c r="D52" s="788">
        <f t="shared" ref="D52:AA52" si="0">SUM(D12:D51)</f>
        <v>0</v>
      </c>
      <c r="E52" s="789">
        <f t="shared" si="0"/>
        <v>0</v>
      </c>
      <c r="F52" s="789">
        <f t="shared" si="0"/>
        <v>0</v>
      </c>
      <c r="G52" s="789">
        <f t="shared" si="0"/>
        <v>0</v>
      </c>
      <c r="H52" s="789">
        <f t="shared" si="0"/>
        <v>0</v>
      </c>
      <c r="I52" s="789">
        <f t="shared" si="0"/>
        <v>0</v>
      </c>
      <c r="J52" s="789">
        <f t="shared" si="0"/>
        <v>0</v>
      </c>
      <c r="K52" s="789">
        <f t="shared" si="0"/>
        <v>0</v>
      </c>
      <c r="L52" s="789">
        <f t="shared" si="0"/>
        <v>0</v>
      </c>
      <c r="M52" s="789">
        <f t="shared" si="0"/>
        <v>0</v>
      </c>
      <c r="N52" s="789">
        <f t="shared" si="0"/>
        <v>0</v>
      </c>
      <c r="O52" s="790">
        <f t="shared" si="0"/>
        <v>0</v>
      </c>
      <c r="P52" s="807">
        <f t="shared" si="0"/>
        <v>0</v>
      </c>
      <c r="Q52" s="789">
        <f t="shared" si="0"/>
        <v>0</v>
      </c>
      <c r="R52" s="789">
        <f t="shared" si="0"/>
        <v>0</v>
      </c>
      <c r="S52" s="789">
        <f t="shared" si="0"/>
        <v>0</v>
      </c>
      <c r="T52" s="789">
        <f t="shared" si="0"/>
        <v>0</v>
      </c>
      <c r="U52" s="789">
        <f t="shared" si="0"/>
        <v>0</v>
      </c>
      <c r="V52" s="789">
        <f t="shared" si="0"/>
        <v>0</v>
      </c>
      <c r="W52" s="789">
        <f t="shared" si="0"/>
        <v>0</v>
      </c>
      <c r="X52" s="789">
        <f t="shared" si="0"/>
        <v>0</v>
      </c>
      <c r="Y52" s="789">
        <f t="shared" si="0"/>
        <v>0</v>
      </c>
      <c r="Z52" s="789">
        <f t="shared" si="0"/>
        <v>0</v>
      </c>
      <c r="AA52" s="789">
        <f t="shared" si="0"/>
        <v>0</v>
      </c>
    </row>
    <row r="53" spans="1:27" ht="12" customHeight="1">
      <c r="C53" s="765"/>
      <c r="P53" s="808"/>
    </row>
    <row r="54" spans="1:27" ht="12" customHeight="1">
      <c r="C54" s="765"/>
    </row>
    <row r="55" spans="1:27" ht="12" customHeight="1">
      <c r="C55" s="765"/>
    </row>
    <row r="56" spans="1:27" ht="12" customHeight="1">
      <c r="C56" s="765"/>
    </row>
    <row r="57" spans="1:27" ht="12" customHeight="1">
      <c r="C57" s="765"/>
    </row>
    <row r="58" spans="1:27" ht="12" customHeight="1">
      <c r="C58" s="765"/>
    </row>
    <row r="59" spans="1:27" ht="12" customHeight="1">
      <c r="C59" s="765"/>
    </row>
    <row r="60" spans="1:27" ht="12" customHeight="1">
      <c r="C60" s="765"/>
    </row>
    <row r="61" spans="1:27" ht="12" customHeight="1">
      <c r="C61" s="765"/>
    </row>
    <row r="62" spans="1:27" ht="12" customHeight="1">
      <c r="C62" s="765"/>
    </row>
    <row r="63" spans="1:27" ht="12" customHeight="1">
      <c r="C63" s="765"/>
    </row>
    <row r="64" spans="1:27" ht="12" customHeight="1">
      <c r="C64" s="765"/>
    </row>
    <row r="65" spans="3:3" ht="12" customHeight="1">
      <c r="C65" s="765"/>
    </row>
    <row r="66" spans="3:3" ht="12" customHeight="1">
      <c r="C66" s="765"/>
    </row>
    <row r="67" spans="3:3" ht="12" customHeight="1">
      <c r="C67" s="765"/>
    </row>
    <row r="68" spans="3:3" ht="12" customHeight="1">
      <c r="C68" s="765"/>
    </row>
    <row r="69" spans="3:3" ht="12" customHeight="1">
      <c r="C69" s="765"/>
    </row>
    <row r="70" spans="3:3" ht="12" customHeight="1">
      <c r="C70" s="765"/>
    </row>
    <row r="71" spans="3:3" ht="12" customHeight="1">
      <c r="C71" s="765"/>
    </row>
    <row r="72" spans="3:3" ht="12" customHeight="1">
      <c r="C72" s="765"/>
    </row>
    <row r="73" spans="3:3" ht="12" customHeight="1">
      <c r="C73" s="765"/>
    </row>
    <row r="74" spans="3:3" ht="12" customHeight="1">
      <c r="C74" s="765"/>
    </row>
    <row r="75" spans="3:3" ht="12" customHeight="1">
      <c r="C75" s="765"/>
    </row>
    <row r="76" spans="3:3" ht="12" customHeight="1">
      <c r="C76" s="765"/>
    </row>
    <row r="77" spans="3:3" ht="12" customHeight="1">
      <c r="C77" s="765"/>
    </row>
    <row r="78" spans="3:3" ht="12" customHeight="1">
      <c r="C78" s="765"/>
    </row>
    <row r="79" spans="3:3" ht="12" customHeight="1">
      <c r="C79" s="765"/>
    </row>
    <row r="80" spans="3:3" ht="12" customHeight="1">
      <c r="C80" s="765"/>
    </row>
    <row r="81" spans="3:3" ht="12" customHeight="1">
      <c r="C81" s="765"/>
    </row>
    <row r="82" spans="3:3" ht="12" customHeight="1">
      <c r="C82" s="765"/>
    </row>
    <row r="83" spans="3:3" ht="12" customHeight="1">
      <c r="C83" s="765"/>
    </row>
    <row r="84" spans="3:3" ht="12" customHeight="1">
      <c r="C84" s="765"/>
    </row>
    <row r="85" spans="3:3" ht="12" customHeight="1">
      <c r="C85" s="765"/>
    </row>
    <row r="86" spans="3:3" ht="12" customHeight="1">
      <c r="C86" s="765"/>
    </row>
    <row r="87" spans="3:3" ht="12" customHeight="1">
      <c r="C87" s="765"/>
    </row>
    <row r="88" spans="3:3" ht="12" customHeight="1">
      <c r="C88" s="765"/>
    </row>
    <row r="89" spans="3:3" ht="12" customHeight="1">
      <c r="C89" s="765"/>
    </row>
    <row r="90" spans="3:3" ht="12" customHeight="1">
      <c r="C90" s="765"/>
    </row>
    <row r="91" spans="3:3" ht="12" customHeight="1">
      <c r="C91" s="765"/>
    </row>
    <row r="92" spans="3:3" ht="12" customHeight="1">
      <c r="C92" s="765"/>
    </row>
    <row r="93" spans="3:3" ht="12" customHeight="1">
      <c r="C93" s="765"/>
    </row>
    <row r="94" spans="3:3" ht="12" customHeight="1">
      <c r="C94" s="765"/>
    </row>
    <row r="95" spans="3:3" ht="12" customHeight="1">
      <c r="C95" s="765"/>
    </row>
    <row r="96" spans="3:3" ht="12" customHeight="1">
      <c r="C96" s="765"/>
    </row>
    <row r="97" spans="3:3" ht="12" customHeight="1">
      <c r="C97" s="765"/>
    </row>
    <row r="98" spans="3:3" ht="12" customHeight="1">
      <c r="C98" s="765"/>
    </row>
    <row r="99" spans="3:3" ht="12" customHeight="1">
      <c r="C99" s="765"/>
    </row>
    <row r="100" spans="3:3" ht="12" customHeight="1">
      <c r="C100" s="765"/>
    </row>
    <row r="101" spans="3:3" ht="12" customHeight="1">
      <c r="C101" s="765"/>
    </row>
    <row r="102" spans="3:3" ht="12" customHeight="1">
      <c r="C102" s="765"/>
    </row>
    <row r="103" spans="3:3" ht="12" customHeight="1">
      <c r="C103" s="765"/>
    </row>
    <row r="104" spans="3:3" ht="12" customHeight="1">
      <c r="C104" s="765"/>
    </row>
    <row r="105" spans="3:3" ht="12" customHeight="1">
      <c r="C105" s="765"/>
    </row>
    <row r="106" spans="3:3" ht="12" customHeight="1">
      <c r="C106" s="765"/>
    </row>
    <row r="107" spans="3:3" ht="12" customHeight="1">
      <c r="C107" s="765"/>
    </row>
    <row r="108" spans="3:3" ht="12" customHeight="1">
      <c r="C108" s="765"/>
    </row>
    <row r="109" spans="3:3" ht="12" customHeight="1">
      <c r="C109" s="765"/>
    </row>
    <row r="110" spans="3:3" ht="12" customHeight="1">
      <c r="C110" s="765"/>
    </row>
    <row r="111" spans="3:3" ht="12" customHeight="1">
      <c r="C111" s="765"/>
    </row>
    <row r="112" spans="3:3" ht="12" customHeight="1">
      <c r="C112" s="765"/>
    </row>
    <row r="113" spans="3:3" ht="12" customHeight="1">
      <c r="C113" s="765"/>
    </row>
    <row r="114" spans="3:3" ht="12" customHeight="1">
      <c r="C114" s="765"/>
    </row>
    <row r="115" spans="3:3" ht="12" customHeight="1">
      <c r="C115" s="765"/>
    </row>
    <row r="116" spans="3:3" ht="12" customHeight="1">
      <c r="C116" s="765"/>
    </row>
    <row r="117" spans="3:3" ht="12" customHeight="1">
      <c r="C117" s="765"/>
    </row>
    <row r="118" spans="3:3" ht="12" customHeight="1">
      <c r="C118" s="765"/>
    </row>
    <row r="119" spans="3:3" ht="12" customHeight="1">
      <c r="C119" s="765"/>
    </row>
    <row r="120" spans="3:3" ht="12" customHeight="1">
      <c r="C120" s="765"/>
    </row>
    <row r="121" spans="3:3" ht="12" customHeight="1">
      <c r="C121" s="765"/>
    </row>
    <row r="122" spans="3:3" ht="12" customHeight="1">
      <c r="C122" s="765"/>
    </row>
    <row r="123" spans="3:3" ht="12" customHeight="1">
      <c r="C123" s="765"/>
    </row>
    <row r="124" spans="3:3" ht="12" customHeight="1">
      <c r="C124" s="765"/>
    </row>
    <row r="125" spans="3:3" ht="12" customHeight="1">
      <c r="C125" s="765"/>
    </row>
    <row r="126" spans="3:3" ht="12" customHeight="1">
      <c r="C126" s="765"/>
    </row>
    <row r="127" spans="3:3" ht="12" customHeight="1">
      <c r="C127" s="765"/>
    </row>
    <row r="128" spans="3:3" ht="12" customHeight="1">
      <c r="C128" s="765"/>
    </row>
    <row r="129" spans="3:3" ht="12" customHeight="1">
      <c r="C129" s="765"/>
    </row>
    <row r="130" spans="3:3" ht="12" customHeight="1">
      <c r="C130" s="765"/>
    </row>
    <row r="131" spans="3:3" ht="12" customHeight="1">
      <c r="C131" s="765"/>
    </row>
    <row r="132" spans="3:3" ht="12" customHeight="1">
      <c r="C132" s="765"/>
    </row>
    <row r="133" spans="3:3" ht="12" customHeight="1">
      <c r="C133" s="765"/>
    </row>
    <row r="134" spans="3:3" ht="12" customHeight="1">
      <c r="C134" s="765"/>
    </row>
    <row r="135" spans="3:3" ht="12" customHeight="1">
      <c r="C135" s="765"/>
    </row>
    <row r="136" spans="3:3" ht="12" customHeight="1">
      <c r="C136" s="765"/>
    </row>
    <row r="137" spans="3:3" ht="12" customHeight="1">
      <c r="C137" s="765"/>
    </row>
    <row r="138" spans="3:3" ht="12" customHeight="1">
      <c r="C138" s="765"/>
    </row>
    <row r="139" spans="3:3" ht="12" customHeight="1">
      <c r="C139" s="765"/>
    </row>
    <row r="140" spans="3:3" ht="12" customHeight="1">
      <c r="C140" s="765"/>
    </row>
    <row r="141" spans="3:3" ht="12" customHeight="1">
      <c r="C141" s="765"/>
    </row>
    <row r="142" spans="3:3" ht="12" customHeight="1">
      <c r="C142" s="765"/>
    </row>
    <row r="143" spans="3:3" ht="12" customHeight="1">
      <c r="C143" s="765"/>
    </row>
    <row r="144" spans="3:3" ht="12" customHeight="1">
      <c r="C144" s="765"/>
    </row>
    <row r="145" spans="3:3" ht="12" customHeight="1">
      <c r="C145" s="765"/>
    </row>
    <row r="146" spans="3:3" ht="12" customHeight="1">
      <c r="C146" s="765"/>
    </row>
    <row r="147" spans="3:3" ht="12" customHeight="1">
      <c r="C147" s="765"/>
    </row>
    <row r="148" spans="3:3" ht="12" customHeight="1">
      <c r="C148" s="765"/>
    </row>
    <row r="149" spans="3:3" ht="12" customHeight="1">
      <c r="C149" s="765"/>
    </row>
    <row r="150" spans="3:3" ht="12" customHeight="1">
      <c r="C150" s="765"/>
    </row>
    <row r="151" spans="3:3" ht="12" customHeight="1">
      <c r="C151" s="765"/>
    </row>
    <row r="152" spans="3:3" ht="12" customHeight="1">
      <c r="C152" s="765"/>
    </row>
    <row r="153" spans="3:3" ht="12" customHeight="1">
      <c r="C153" s="765"/>
    </row>
    <row r="154" spans="3:3" ht="12" customHeight="1">
      <c r="C154" s="765"/>
    </row>
    <row r="155" spans="3:3" ht="12" customHeight="1">
      <c r="C155" s="765"/>
    </row>
    <row r="156" spans="3:3" ht="12" customHeight="1">
      <c r="C156" s="765"/>
    </row>
    <row r="157" spans="3:3" ht="12" customHeight="1">
      <c r="C157" s="765"/>
    </row>
    <row r="158" spans="3:3" ht="12" customHeight="1">
      <c r="C158" s="765"/>
    </row>
    <row r="159" spans="3:3" ht="12" customHeight="1">
      <c r="C159" s="765"/>
    </row>
    <row r="160" spans="3:3" ht="12" customHeight="1">
      <c r="C160" s="765"/>
    </row>
    <row r="161" spans="3:3" ht="12" customHeight="1">
      <c r="C161" s="765"/>
    </row>
    <row r="162" spans="3:3" ht="12" customHeight="1">
      <c r="C162" s="765"/>
    </row>
    <row r="163" spans="3:3" ht="12" customHeight="1">
      <c r="C163" s="765"/>
    </row>
    <row r="164" spans="3:3" ht="12" customHeight="1">
      <c r="C164" s="765"/>
    </row>
    <row r="165" spans="3:3" ht="12" customHeight="1">
      <c r="C165" s="765"/>
    </row>
    <row r="166" spans="3:3" ht="12" customHeight="1">
      <c r="C166" s="765"/>
    </row>
    <row r="167" spans="3:3" ht="12" customHeight="1">
      <c r="C167" s="765"/>
    </row>
    <row r="168" spans="3:3" ht="12" customHeight="1">
      <c r="C168" s="765"/>
    </row>
    <row r="169" spans="3:3" ht="12" customHeight="1">
      <c r="C169" s="765"/>
    </row>
    <row r="170" spans="3:3" ht="12" customHeight="1">
      <c r="C170" s="765"/>
    </row>
    <row r="171" spans="3:3" ht="12" customHeight="1">
      <c r="C171" s="765"/>
    </row>
    <row r="172" spans="3:3" ht="12" customHeight="1">
      <c r="C172" s="765"/>
    </row>
    <row r="173" spans="3:3" ht="12" customHeight="1">
      <c r="C173" s="765"/>
    </row>
    <row r="174" spans="3:3" ht="12" customHeight="1">
      <c r="C174" s="765"/>
    </row>
    <row r="175" spans="3:3" ht="12" customHeight="1">
      <c r="C175" s="765"/>
    </row>
    <row r="176" spans="3:3" ht="12" customHeight="1">
      <c r="C176" s="765"/>
    </row>
    <row r="177" spans="3:3" ht="12" customHeight="1">
      <c r="C177" s="765"/>
    </row>
    <row r="178" spans="3:3" ht="12" customHeight="1">
      <c r="C178" s="765"/>
    </row>
    <row r="179" spans="3:3" ht="12" customHeight="1">
      <c r="C179" s="765"/>
    </row>
    <row r="180" spans="3:3" ht="12" customHeight="1">
      <c r="C180" s="765"/>
    </row>
    <row r="181" spans="3:3" ht="12" customHeight="1">
      <c r="C181" s="765"/>
    </row>
    <row r="182" spans="3:3" ht="12" customHeight="1">
      <c r="C182" s="765"/>
    </row>
    <row r="183" spans="3:3" ht="12" customHeight="1">
      <c r="C183" s="765"/>
    </row>
    <row r="184" spans="3:3" ht="12" customHeight="1">
      <c r="C184" s="765"/>
    </row>
    <row r="185" spans="3:3" ht="12" customHeight="1">
      <c r="C185" s="765"/>
    </row>
    <row r="186" spans="3:3" ht="12" customHeight="1">
      <c r="C186" s="765"/>
    </row>
    <row r="187" spans="3:3" ht="12" customHeight="1">
      <c r="C187" s="765"/>
    </row>
    <row r="188" spans="3:3" ht="12" customHeight="1">
      <c r="C188" s="765"/>
    </row>
    <row r="189" spans="3:3" ht="12" customHeight="1">
      <c r="C189" s="765"/>
    </row>
    <row r="190" spans="3:3" ht="12" customHeight="1">
      <c r="C190" s="765"/>
    </row>
    <row r="191" spans="3:3" ht="12" customHeight="1">
      <c r="C191" s="765"/>
    </row>
    <row r="192" spans="3:3" ht="12" customHeight="1">
      <c r="C192" s="765"/>
    </row>
    <row r="193" spans="3:3" ht="12" customHeight="1">
      <c r="C193" s="765"/>
    </row>
    <row r="194" spans="3:3" ht="12" customHeight="1">
      <c r="C194" s="765"/>
    </row>
    <row r="195" spans="3:3" ht="12" customHeight="1">
      <c r="C195" s="765"/>
    </row>
    <row r="196" spans="3:3" ht="12" customHeight="1">
      <c r="C196" s="765"/>
    </row>
    <row r="197" spans="3:3" ht="12" customHeight="1">
      <c r="C197" s="765"/>
    </row>
    <row r="198" spans="3:3" ht="12" customHeight="1">
      <c r="C198" s="765"/>
    </row>
    <row r="199" spans="3:3" ht="12" customHeight="1">
      <c r="C199" s="765"/>
    </row>
    <row r="200" spans="3:3" ht="12" customHeight="1">
      <c r="C200" s="765"/>
    </row>
    <row r="201" spans="3:3" ht="12" customHeight="1">
      <c r="C201" s="765"/>
    </row>
    <row r="202" spans="3:3" ht="12" customHeight="1">
      <c r="C202" s="765"/>
    </row>
    <row r="203" spans="3:3" ht="12" customHeight="1">
      <c r="C203" s="765"/>
    </row>
    <row r="204" spans="3:3" ht="12" customHeight="1">
      <c r="C204" s="765"/>
    </row>
    <row r="205" spans="3:3" ht="12" customHeight="1">
      <c r="C205" s="765"/>
    </row>
    <row r="206" spans="3:3" ht="12" customHeight="1">
      <c r="C206" s="765"/>
    </row>
    <row r="207" spans="3:3" ht="12" customHeight="1">
      <c r="C207" s="765"/>
    </row>
    <row r="208" spans="3:3" ht="12" customHeight="1">
      <c r="C208" s="765"/>
    </row>
    <row r="209" spans="3:3" ht="12" customHeight="1">
      <c r="C209" s="765"/>
    </row>
    <row r="210" spans="3:3" ht="12" customHeight="1">
      <c r="C210" s="765"/>
    </row>
    <row r="211" spans="3:3" ht="12" customHeight="1">
      <c r="C211" s="765"/>
    </row>
    <row r="212" spans="3:3" ht="12" customHeight="1">
      <c r="C212" s="765"/>
    </row>
    <row r="213" spans="3:3" ht="12" customHeight="1">
      <c r="C213" s="765"/>
    </row>
    <row r="214" spans="3:3" ht="12" customHeight="1">
      <c r="C214" s="765"/>
    </row>
    <row r="215" spans="3:3" ht="12" customHeight="1">
      <c r="C215" s="765"/>
    </row>
    <row r="216" spans="3:3" ht="12" customHeight="1">
      <c r="C216" s="765"/>
    </row>
    <row r="217" spans="3:3" ht="12" customHeight="1">
      <c r="C217" s="765"/>
    </row>
    <row r="218" spans="3:3" ht="12" customHeight="1">
      <c r="C218" s="765"/>
    </row>
    <row r="219" spans="3:3" ht="12" customHeight="1">
      <c r="C219" s="765"/>
    </row>
    <row r="220" spans="3:3" ht="12" customHeight="1">
      <c r="C220" s="765"/>
    </row>
    <row r="221" spans="3:3" ht="12" customHeight="1">
      <c r="C221" s="765"/>
    </row>
    <row r="222" spans="3:3" ht="12" customHeight="1">
      <c r="C222" s="765"/>
    </row>
    <row r="223" spans="3:3" ht="12" customHeight="1">
      <c r="C223" s="765"/>
    </row>
    <row r="224" spans="3:3" ht="12" customHeight="1">
      <c r="C224" s="765"/>
    </row>
    <row r="225" spans="3:3" ht="12" customHeight="1">
      <c r="C225" s="765"/>
    </row>
    <row r="226" spans="3:3" ht="12" customHeight="1">
      <c r="C226" s="765"/>
    </row>
    <row r="227" spans="3:3" ht="12" customHeight="1">
      <c r="C227" s="765"/>
    </row>
    <row r="228" spans="3:3" ht="12" customHeight="1">
      <c r="C228" s="765"/>
    </row>
    <row r="229" spans="3:3" ht="12" customHeight="1">
      <c r="C229" s="765"/>
    </row>
    <row r="230" spans="3:3" ht="12" customHeight="1">
      <c r="C230" s="765"/>
    </row>
    <row r="231" spans="3:3" ht="12" customHeight="1">
      <c r="C231" s="765"/>
    </row>
    <row r="232" spans="3:3" ht="12" customHeight="1">
      <c r="C232" s="765"/>
    </row>
    <row r="233" spans="3:3" ht="12" customHeight="1">
      <c r="C233" s="765"/>
    </row>
    <row r="234" spans="3:3" ht="12" customHeight="1">
      <c r="C234" s="765"/>
    </row>
    <row r="235" spans="3:3" ht="12" customHeight="1">
      <c r="C235" s="765"/>
    </row>
    <row r="236" spans="3:3" ht="12" customHeight="1">
      <c r="C236" s="765"/>
    </row>
    <row r="237" spans="3:3" ht="12" customHeight="1">
      <c r="C237" s="765"/>
    </row>
    <row r="238" spans="3:3" ht="12" customHeight="1">
      <c r="C238" s="765"/>
    </row>
    <row r="239" spans="3:3" ht="12" customHeight="1">
      <c r="C239" s="765"/>
    </row>
    <row r="240" spans="3:3" ht="12" customHeight="1">
      <c r="C240" s="765"/>
    </row>
    <row r="241" spans="3:3" ht="12" customHeight="1">
      <c r="C241" s="765"/>
    </row>
    <row r="242" spans="3:3" ht="12" customHeight="1">
      <c r="C242" s="765"/>
    </row>
    <row r="243" spans="3:3" ht="12" customHeight="1">
      <c r="C243" s="765"/>
    </row>
    <row r="244" spans="3:3" ht="12" customHeight="1">
      <c r="C244" s="765"/>
    </row>
    <row r="245" spans="3:3" ht="12" customHeight="1">
      <c r="C245" s="765"/>
    </row>
    <row r="246" spans="3:3" ht="12" customHeight="1">
      <c r="C246" s="765"/>
    </row>
    <row r="247" spans="3:3" ht="12" customHeight="1">
      <c r="C247" s="765"/>
    </row>
    <row r="248" spans="3:3" ht="12" customHeight="1">
      <c r="C248" s="765"/>
    </row>
    <row r="249" spans="3:3" ht="12" customHeight="1">
      <c r="C249" s="765"/>
    </row>
    <row r="250" spans="3:3" ht="12" customHeight="1">
      <c r="C250" s="765"/>
    </row>
    <row r="251" spans="3:3" ht="12" customHeight="1">
      <c r="C251" s="765"/>
    </row>
    <row r="252" spans="3:3" ht="12" customHeight="1">
      <c r="C252" s="765"/>
    </row>
    <row r="253" spans="3:3" ht="12" customHeight="1">
      <c r="C253" s="765"/>
    </row>
    <row r="254" spans="3:3" ht="12" customHeight="1">
      <c r="C254" s="765"/>
    </row>
    <row r="255" spans="3:3" ht="12" customHeight="1">
      <c r="C255" s="765"/>
    </row>
    <row r="256" spans="3:3" ht="12" customHeight="1">
      <c r="C256" s="765"/>
    </row>
    <row r="257" spans="3:3" ht="12" customHeight="1">
      <c r="C257" s="765"/>
    </row>
    <row r="258" spans="3:3" ht="12" customHeight="1">
      <c r="C258" s="765"/>
    </row>
    <row r="259" spans="3:3" ht="12" customHeight="1">
      <c r="C259" s="765"/>
    </row>
    <row r="260" spans="3:3" ht="12" customHeight="1">
      <c r="C260" s="765"/>
    </row>
    <row r="261" spans="3:3" ht="12" customHeight="1">
      <c r="C261" s="765"/>
    </row>
    <row r="262" spans="3:3" ht="12" customHeight="1">
      <c r="C262" s="765"/>
    </row>
    <row r="263" spans="3:3" ht="12" customHeight="1">
      <c r="C263" s="765"/>
    </row>
    <row r="264" spans="3:3" ht="12" customHeight="1">
      <c r="C264" s="765"/>
    </row>
    <row r="265" spans="3:3" ht="12" customHeight="1">
      <c r="C265" s="765"/>
    </row>
    <row r="266" spans="3:3" ht="12" customHeight="1">
      <c r="C266" s="765"/>
    </row>
    <row r="267" spans="3:3" ht="12" customHeight="1">
      <c r="C267" s="765"/>
    </row>
    <row r="268" spans="3:3" ht="12" customHeight="1">
      <c r="C268" s="765"/>
    </row>
    <row r="269" spans="3:3" ht="12" customHeight="1">
      <c r="C269" s="765"/>
    </row>
    <row r="270" spans="3:3" ht="12" customHeight="1">
      <c r="C270" s="765"/>
    </row>
    <row r="271" spans="3:3" ht="12" customHeight="1">
      <c r="C271" s="765"/>
    </row>
    <row r="272" spans="3:3" ht="12" customHeight="1">
      <c r="C272" s="765"/>
    </row>
    <row r="273" spans="3:3" ht="12" customHeight="1">
      <c r="C273" s="765"/>
    </row>
    <row r="274" spans="3:3" ht="12" customHeight="1">
      <c r="C274" s="765"/>
    </row>
    <row r="275" spans="3:3" ht="12" customHeight="1">
      <c r="C275" s="765"/>
    </row>
    <row r="276" spans="3:3" ht="12" customHeight="1">
      <c r="C276" s="765"/>
    </row>
    <row r="277" spans="3:3" ht="12" customHeight="1">
      <c r="C277" s="765"/>
    </row>
    <row r="278" spans="3:3" ht="12" customHeight="1">
      <c r="C278" s="765"/>
    </row>
    <row r="279" spans="3:3" ht="12" customHeight="1">
      <c r="C279" s="765"/>
    </row>
    <row r="280" spans="3:3" ht="12" customHeight="1">
      <c r="C280" s="765"/>
    </row>
    <row r="281" spans="3:3" ht="12" customHeight="1">
      <c r="C281" s="765"/>
    </row>
    <row r="282" spans="3:3" ht="12" customHeight="1">
      <c r="C282" s="765"/>
    </row>
    <row r="283" spans="3:3" ht="12" customHeight="1">
      <c r="C283" s="765"/>
    </row>
    <row r="284" spans="3:3" ht="12" customHeight="1">
      <c r="C284" s="765"/>
    </row>
    <row r="285" spans="3:3" ht="12" customHeight="1">
      <c r="C285" s="765"/>
    </row>
    <row r="286" spans="3:3" ht="12" customHeight="1">
      <c r="C286" s="765"/>
    </row>
    <row r="287" spans="3:3" ht="12" customHeight="1">
      <c r="C287" s="765"/>
    </row>
    <row r="288" spans="3:3" ht="12" customHeight="1">
      <c r="C288" s="765"/>
    </row>
    <row r="289" spans="3:3" ht="12" customHeight="1">
      <c r="C289" s="765"/>
    </row>
    <row r="290" spans="3:3" ht="12" customHeight="1">
      <c r="C290" s="765"/>
    </row>
    <row r="291" spans="3:3" ht="12" customHeight="1">
      <c r="C291" s="765"/>
    </row>
    <row r="292" spans="3:3" ht="12" customHeight="1">
      <c r="C292" s="765"/>
    </row>
    <row r="293" spans="3:3" ht="12" customHeight="1">
      <c r="C293" s="765"/>
    </row>
    <row r="294" spans="3:3" ht="12" customHeight="1">
      <c r="C294" s="765"/>
    </row>
    <row r="295" spans="3:3" ht="12" customHeight="1">
      <c r="C295" s="765"/>
    </row>
    <row r="296" spans="3:3" ht="12" customHeight="1">
      <c r="C296" s="765"/>
    </row>
    <row r="297" spans="3:3" ht="12" customHeight="1">
      <c r="C297" s="765"/>
    </row>
    <row r="298" spans="3:3" ht="12" customHeight="1">
      <c r="C298" s="765"/>
    </row>
    <row r="299" spans="3:3" ht="12" customHeight="1">
      <c r="C299" s="765"/>
    </row>
    <row r="300" spans="3:3" ht="12" customHeight="1">
      <c r="C300" s="765"/>
    </row>
    <row r="301" spans="3:3" ht="12" customHeight="1">
      <c r="C301" s="765"/>
    </row>
    <row r="302" spans="3:3" ht="12" customHeight="1">
      <c r="C302" s="765"/>
    </row>
    <row r="303" spans="3:3" ht="12" customHeight="1">
      <c r="C303" s="765"/>
    </row>
    <row r="304" spans="3:3" ht="12" customHeight="1">
      <c r="C304" s="765"/>
    </row>
    <row r="305" spans="3:3" ht="12" customHeight="1">
      <c r="C305" s="765"/>
    </row>
    <row r="306" spans="3:3" ht="12" customHeight="1">
      <c r="C306" s="765"/>
    </row>
    <row r="307" spans="3:3" ht="12" customHeight="1">
      <c r="C307" s="765"/>
    </row>
    <row r="308" spans="3:3" ht="12" customHeight="1">
      <c r="C308" s="765"/>
    </row>
    <row r="309" spans="3:3" ht="12" customHeight="1">
      <c r="C309" s="765"/>
    </row>
    <row r="310" spans="3:3" ht="12" customHeight="1">
      <c r="C310" s="765"/>
    </row>
    <row r="311" spans="3:3" ht="12" customHeight="1">
      <c r="C311" s="765"/>
    </row>
    <row r="312" spans="3:3" ht="12" customHeight="1">
      <c r="C312" s="765"/>
    </row>
    <row r="313" spans="3:3" ht="12" customHeight="1">
      <c r="C313" s="765"/>
    </row>
    <row r="314" spans="3:3" ht="12" customHeight="1">
      <c r="C314" s="765"/>
    </row>
    <row r="315" spans="3:3" ht="12" customHeight="1">
      <c r="C315" s="765"/>
    </row>
    <row r="316" spans="3:3" ht="12" customHeight="1">
      <c r="C316" s="765"/>
    </row>
    <row r="317" spans="3:3" ht="12" customHeight="1">
      <c r="C317" s="765"/>
    </row>
    <row r="318" spans="3:3" ht="12" customHeight="1">
      <c r="C318" s="765"/>
    </row>
    <row r="319" spans="3:3" ht="12" customHeight="1">
      <c r="C319" s="765"/>
    </row>
    <row r="320" spans="3:3" ht="12" customHeight="1">
      <c r="C320" s="765"/>
    </row>
    <row r="321" spans="3:3" ht="12" customHeight="1">
      <c r="C321" s="765"/>
    </row>
    <row r="322" spans="3:3" ht="12" customHeight="1">
      <c r="C322" s="765"/>
    </row>
    <row r="323" spans="3:3" ht="12" customHeight="1">
      <c r="C323" s="765"/>
    </row>
    <row r="324" spans="3:3" ht="12" customHeight="1">
      <c r="C324" s="765"/>
    </row>
    <row r="325" spans="3:3" ht="12" customHeight="1">
      <c r="C325" s="765"/>
    </row>
    <row r="326" spans="3:3" ht="12" customHeight="1">
      <c r="C326" s="765"/>
    </row>
    <row r="327" spans="3:3" ht="12" customHeight="1">
      <c r="C327" s="765"/>
    </row>
    <row r="328" spans="3:3" ht="12" customHeight="1">
      <c r="C328" s="765"/>
    </row>
    <row r="329" spans="3:3" ht="12" customHeight="1">
      <c r="C329" s="765"/>
    </row>
    <row r="330" spans="3:3" ht="12" customHeight="1">
      <c r="C330" s="765"/>
    </row>
    <row r="331" spans="3:3" ht="12" customHeight="1">
      <c r="C331" s="765"/>
    </row>
    <row r="332" spans="3:3" ht="12" customHeight="1">
      <c r="C332" s="765"/>
    </row>
    <row r="333" spans="3:3" ht="12" customHeight="1">
      <c r="C333" s="765"/>
    </row>
    <row r="334" spans="3:3" ht="12" customHeight="1">
      <c r="C334" s="765"/>
    </row>
    <row r="335" spans="3:3" ht="12" customHeight="1">
      <c r="C335" s="765"/>
    </row>
    <row r="336" spans="3:3" ht="12" customHeight="1">
      <c r="C336" s="765"/>
    </row>
    <row r="337" spans="3:3" ht="12" customHeight="1">
      <c r="C337" s="765"/>
    </row>
    <row r="338" spans="3:3" ht="12" customHeight="1">
      <c r="C338" s="765"/>
    </row>
    <row r="339" spans="3:3" ht="12" customHeight="1">
      <c r="C339" s="765"/>
    </row>
    <row r="340" spans="3:3" ht="12" customHeight="1">
      <c r="C340" s="765"/>
    </row>
    <row r="341" spans="3:3" ht="12" customHeight="1">
      <c r="C341" s="765"/>
    </row>
    <row r="342" spans="3:3" ht="12" customHeight="1">
      <c r="C342" s="765"/>
    </row>
    <row r="343" spans="3:3" ht="12" customHeight="1">
      <c r="C343" s="765"/>
    </row>
    <row r="344" spans="3:3" ht="12" customHeight="1">
      <c r="C344" s="765"/>
    </row>
    <row r="345" spans="3:3" ht="12" customHeight="1">
      <c r="C345" s="765"/>
    </row>
    <row r="346" spans="3:3" ht="12" customHeight="1">
      <c r="C346" s="765"/>
    </row>
    <row r="347" spans="3:3" ht="12" customHeight="1">
      <c r="C347" s="765"/>
    </row>
    <row r="348" spans="3:3" ht="12" customHeight="1">
      <c r="C348" s="765"/>
    </row>
    <row r="349" spans="3:3" ht="12" customHeight="1">
      <c r="C349" s="765"/>
    </row>
    <row r="350" spans="3:3" ht="12" customHeight="1">
      <c r="C350" s="765"/>
    </row>
    <row r="351" spans="3:3" ht="12" customHeight="1">
      <c r="C351" s="765"/>
    </row>
    <row r="352" spans="3:3" ht="12" customHeight="1">
      <c r="C352" s="765"/>
    </row>
    <row r="353" spans="3:3" ht="12" customHeight="1">
      <c r="C353" s="765"/>
    </row>
    <row r="354" spans="3:3" ht="12" customHeight="1">
      <c r="C354" s="765"/>
    </row>
    <row r="355" spans="3:3" ht="12" customHeight="1">
      <c r="C355" s="765"/>
    </row>
    <row r="356" spans="3:3" ht="12" customHeight="1">
      <c r="C356" s="765"/>
    </row>
    <row r="357" spans="3:3" ht="12" customHeight="1">
      <c r="C357" s="765"/>
    </row>
    <row r="358" spans="3:3" ht="12" customHeight="1">
      <c r="C358" s="765"/>
    </row>
    <row r="359" spans="3:3" ht="12" customHeight="1">
      <c r="C359" s="765"/>
    </row>
    <row r="360" spans="3:3" ht="12" customHeight="1">
      <c r="C360" s="765"/>
    </row>
    <row r="361" spans="3:3" ht="12" customHeight="1">
      <c r="C361" s="765"/>
    </row>
    <row r="362" spans="3:3" ht="12" customHeight="1">
      <c r="C362" s="765"/>
    </row>
    <row r="363" spans="3:3" ht="12" customHeight="1">
      <c r="C363" s="765"/>
    </row>
    <row r="364" spans="3:3" ht="12" customHeight="1">
      <c r="C364" s="765"/>
    </row>
    <row r="365" spans="3:3" ht="12" customHeight="1">
      <c r="C365" s="765"/>
    </row>
    <row r="366" spans="3:3" ht="12" customHeight="1">
      <c r="C366" s="765"/>
    </row>
    <row r="367" spans="3:3" ht="12" customHeight="1">
      <c r="C367" s="765"/>
    </row>
    <row r="368" spans="3:3" ht="12" customHeight="1">
      <c r="C368" s="765"/>
    </row>
    <row r="369" spans="3:3" ht="12" customHeight="1">
      <c r="C369" s="765"/>
    </row>
    <row r="370" spans="3:3" ht="12" customHeight="1">
      <c r="C370" s="765"/>
    </row>
    <row r="371" spans="3:3" ht="12" customHeight="1">
      <c r="C371" s="765"/>
    </row>
    <row r="372" spans="3:3" ht="12" customHeight="1">
      <c r="C372" s="765"/>
    </row>
    <row r="373" spans="3:3" ht="12" customHeight="1">
      <c r="C373" s="765"/>
    </row>
    <row r="374" spans="3:3" ht="12" customHeight="1">
      <c r="C374" s="765"/>
    </row>
    <row r="375" spans="3:3" ht="12" customHeight="1">
      <c r="C375" s="765"/>
    </row>
    <row r="376" spans="3:3" ht="12" customHeight="1">
      <c r="C376" s="765"/>
    </row>
    <row r="377" spans="3:3" ht="12" customHeight="1">
      <c r="C377" s="765"/>
    </row>
    <row r="378" spans="3:3" ht="12" customHeight="1">
      <c r="C378" s="765"/>
    </row>
    <row r="379" spans="3:3" ht="12" customHeight="1">
      <c r="C379" s="765"/>
    </row>
    <row r="380" spans="3:3" ht="12" customHeight="1">
      <c r="C380" s="765"/>
    </row>
    <row r="381" spans="3:3" ht="12" customHeight="1">
      <c r="C381" s="765"/>
    </row>
    <row r="382" spans="3:3" ht="12" customHeight="1">
      <c r="C382" s="765"/>
    </row>
    <row r="383" spans="3:3" ht="12" customHeight="1">
      <c r="C383" s="765"/>
    </row>
    <row r="384" spans="3:3" ht="12" customHeight="1">
      <c r="C384" s="765"/>
    </row>
    <row r="385" spans="3:3" ht="12" customHeight="1">
      <c r="C385" s="765"/>
    </row>
    <row r="386" spans="3:3" ht="12" customHeight="1">
      <c r="C386" s="765"/>
    </row>
    <row r="387" spans="3:3" ht="12" customHeight="1">
      <c r="C387" s="765"/>
    </row>
    <row r="388" spans="3:3" ht="12" customHeight="1">
      <c r="C388" s="765"/>
    </row>
    <row r="389" spans="3:3" ht="12" customHeight="1">
      <c r="C389" s="765"/>
    </row>
    <row r="390" spans="3:3" ht="12" customHeight="1">
      <c r="C390" s="765"/>
    </row>
    <row r="391" spans="3:3" ht="12" customHeight="1">
      <c r="C391" s="765"/>
    </row>
    <row r="392" spans="3:3" ht="12" customHeight="1">
      <c r="C392" s="765"/>
    </row>
    <row r="393" spans="3:3" ht="12" customHeight="1">
      <c r="C393" s="765"/>
    </row>
    <row r="394" spans="3:3" ht="12" customHeight="1">
      <c r="C394" s="765"/>
    </row>
    <row r="395" spans="3:3" ht="12" customHeight="1">
      <c r="C395" s="765"/>
    </row>
    <row r="396" spans="3:3" ht="12" customHeight="1">
      <c r="C396" s="765"/>
    </row>
    <row r="397" spans="3:3" ht="12" customHeight="1">
      <c r="C397" s="765"/>
    </row>
    <row r="398" spans="3:3" ht="12" customHeight="1">
      <c r="C398" s="765"/>
    </row>
    <row r="399" spans="3:3" ht="12" customHeight="1">
      <c r="C399" s="765"/>
    </row>
    <row r="400" spans="3:3" ht="12" customHeight="1">
      <c r="C400" s="765"/>
    </row>
    <row r="401" spans="3:3" ht="12" customHeight="1">
      <c r="C401" s="765"/>
    </row>
    <row r="402" spans="3:3" ht="12" customHeight="1">
      <c r="C402" s="765"/>
    </row>
    <row r="403" spans="3:3" ht="12" customHeight="1">
      <c r="C403" s="765"/>
    </row>
    <row r="404" spans="3:3" ht="12" customHeight="1">
      <c r="C404" s="765"/>
    </row>
    <row r="405" spans="3:3" ht="12" customHeight="1">
      <c r="C405" s="765"/>
    </row>
    <row r="406" spans="3:3" ht="12" customHeight="1">
      <c r="C406" s="765"/>
    </row>
    <row r="407" spans="3:3" ht="12" customHeight="1">
      <c r="C407" s="765"/>
    </row>
    <row r="408" spans="3:3" ht="12" customHeight="1">
      <c r="C408" s="765"/>
    </row>
    <row r="409" spans="3:3" ht="12" customHeight="1">
      <c r="C409" s="765"/>
    </row>
    <row r="410" spans="3:3" ht="12" customHeight="1">
      <c r="C410" s="765"/>
    </row>
    <row r="411" spans="3:3" ht="12" customHeight="1">
      <c r="C411" s="765"/>
    </row>
    <row r="412" spans="3:3" ht="12" customHeight="1">
      <c r="C412" s="765"/>
    </row>
    <row r="413" spans="3:3" ht="12" customHeight="1">
      <c r="C413" s="765"/>
    </row>
    <row r="414" spans="3:3" ht="12" customHeight="1">
      <c r="C414" s="765"/>
    </row>
    <row r="415" spans="3:3" ht="12" customHeight="1">
      <c r="C415" s="765"/>
    </row>
    <row r="416" spans="3:3" ht="12" customHeight="1">
      <c r="C416" s="765"/>
    </row>
    <row r="417" spans="3:3" ht="12" customHeight="1">
      <c r="C417" s="765"/>
    </row>
    <row r="418" spans="3:3" ht="12" customHeight="1">
      <c r="C418" s="765"/>
    </row>
    <row r="419" spans="3:3" ht="12" customHeight="1">
      <c r="C419" s="765"/>
    </row>
    <row r="420" spans="3:3" ht="12" customHeight="1">
      <c r="C420" s="765"/>
    </row>
    <row r="421" spans="3:3" ht="12" customHeight="1">
      <c r="C421" s="765"/>
    </row>
    <row r="422" spans="3:3" ht="12" customHeight="1">
      <c r="C422" s="765"/>
    </row>
    <row r="423" spans="3:3" ht="12" customHeight="1">
      <c r="C423" s="765"/>
    </row>
    <row r="424" spans="3:3" ht="12" customHeight="1">
      <c r="C424" s="765"/>
    </row>
    <row r="425" spans="3:3" ht="12" customHeight="1">
      <c r="C425" s="765"/>
    </row>
    <row r="426" spans="3:3" ht="12" customHeight="1">
      <c r="C426" s="765"/>
    </row>
    <row r="427" spans="3:3" ht="12" customHeight="1">
      <c r="C427" s="765"/>
    </row>
    <row r="428" spans="3:3" ht="12" customHeight="1">
      <c r="C428" s="765"/>
    </row>
    <row r="429" spans="3:3" ht="12" customHeight="1">
      <c r="C429" s="765"/>
    </row>
    <row r="430" spans="3:3" ht="12" customHeight="1">
      <c r="C430" s="765"/>
    </row>
    <row r="431" spans="3:3" ht="12" customHeight="1">
      <c r="C431" s="765"/>
    </row>
    <row r="432" spans="3:3" ht="12" customHeight="1">
      <c r="C432" s="765"/>
    </row>
    <row r="433" spans="3:3" ht="12" customHeight="1">
      <c r="C433" s="765"/>
    </row>
    <row r="434" spans="3:3" ht="12" customHeight="1">
      <c r="C434" s="765"/>
    </row>
    <row r="435" spans="3:3" ht="12" customHeight="1">
      <c r="C435" s="765"/>
    </row>
    <row r="436" spans="3:3" ht="12" customHeight="1">
      <c r="C436" s="765"/>
    </row>
    <row r="437" spans="3:3" ht="12" customHeight="1">
      <c r="C437" s="765"/>
    </row>
    <row r="438" spans="3:3" ht="12" customHeight="1">
      <c r="C438" s="765"/>
    </row>
    <row r="439" spans="3:3" ht="12" customHeight="1">
      <c r="C439" s="765"/>
    </row>
    <row r="440" spans="3:3" ht="12" customHeight="1">
      <c r="C440" s="765"/>
    </row>
    <row r="441" spans="3:3" ht="12" customHeight="1">
      <c r="C441" s="765"/>
    </row>
    <row r="442" spans="3:3" ht="12" customHeight="1">
      <c r="C442" s="765"/>
    </row>
    <row r="443" spans="3:3" ht="12" customHeight="1">
      <c r="C443" s="765"/>
    </row>
    <row r="444" spans="3:3" ht="12" customHeight="1">
      <c r="C444" s="765"/>
    </row>
    <row r="445" spans="3:3" ht="12" customHeight="1">
      <c r="C445" s="765"/>
    </row>
    <row r="446" spans="3:3" ht="12" customHeight="1">
      <c r="C446" s="765"/>
    </row>
    <row r="447" spans="3:3" ht="12" customHeight="1">
      <c r="C447" s="765"/>
    </row>
    <row r="448" spans="3:3" ht="12" customHeight="1">
      <c r="C448" s="765"/>
    </row>
    <row r="449" spans="3:3" ht="12" customHeight="1">
      <c r="C449" s="765"/>
    </row>
    <row r="450" spans="3:3" ht="12" customHeight="1">
      <c r="C450" s="765"/>
    </row>
    <row r="451" spans="3:3" ht="12" customHeight="1">
      <c r="C451" s="765"/>
    </row>
    <row r="452" spans="3:3" ht="12" customHeight="1">
      <c r="C452" s="765"/>
    </row>
    <row r="453" spans="3:3" ht="12" customHeight="1">
      <c r="C453" s="765"/>
    </row>
    <row r="454" spans="3:3" ht="12" customHeight="1">
      <c r="C454" s="765"/>
    </row>
    <row r="455" spans="3:3" ht="12" customHeight="1">
      <c r="C455" s="765"/>
    </row>
    <row r="456" spans="3:3" ht="12" customHeight="1">
      <c r="C456" s="765"/>
    </row>
    <row r="457" spans="3:3" ht="12" customHeight="1">
      <c r="C457" s="765"/>
    </row>
    <row r="458" spans="3:3" ht="12" customHeight="1">
      <c r="C458" s="765"/>
    </row>
    <row r="459" spans="3:3" ht="12" customHeight="1">
      <c r="C459" s="765"/>
    </row>
    <row r="460" spans="3:3" ht="12" customHeight="1">
      <c r="C460" s="765"/>
    </row>
    <row r="461" spans="3:3" ht="12" customHeight="1">
      <c r="C461" s="765"/>
    </row>
    <row r="462" spans="3:3" ht="12" customHeight="1">
      <c r="C462" s="765"/>
    </row>
    <row r="463" spans="3:3" ht="12" customHeight="1">
      <c r="C463" s="765"/>
    </row>
    <row r="464" spans="3:3" ht="12" customHeight="1">
      <c r="C464" s="765"/>
    </row>
    <row r="465" spans="3:3" ht="12" customHeight="1">
      <c r="C465" s="765"/>
    </row>
    <row r="466" spans="3:3" ht="12" customHeight="1">
      <c r="C466" s="765"/>
    </row>
    <row r="467" spans="3:3" ht="12" customHeight="1">
      <c r="C467" s="765"/>
    </row>
    <row r="468" spans="3:3" ht="12" customHeight="1">
      <c r="C468" s="765"/>
    </row>
    <row r="469" spans="3:3" ht="12" customHeight="1">
      <c r="C469" s="765"/>
    </row>
    <row r="470" spans="3:3" ht="12" customHeight="1">
      <c r="C470" s="765"/>
    </row>
    <row r="471" spans="3:3" ht="12" customHeight="1">
      <c r="C471" s="765"/>
    </row>
    <row r="472" spans="3:3" ht="12" customHeight="1">
      <c r="C472" s="765"/>
    </row>
    <row r="473" spans="3:3" ht="12" customHeight="1">
      <c r="C473" s="765"/>
    </row>
    <row r="474" spans="3:3" ht="12" customHeight="1">
      <c r="C474" s="765"/>
    </row>
    <row r="475" spans="3:3" ht="12" customHeight="1">
      <c r="C475" s="765"/>
    </row>
    <row r="476" spans="3:3" ht="12" customHeight="1">
      <c r="C476" s="765"/>
    </row>
    <row r="477" spans="3:3" ht="12" customHeight="1">
      <c r="C477" s="765"/>
    </row>
    <row r="478" spans="3:3" ht="12" customHeight="1">
      <c r="C478" s="765"/>
    </row>
    <row r="479" spans="3:3" ht="12" customHeight="1">
      <c r="C479" s="765"/>
    </row>
    <row r="480" spans="3:3" ht="12" customHeight="1">
      <c r="C480" s="765"/>
    </row>
    <row r="481" spans="3:3" ht="12" customHeight="1">
      <c r="C481" s="765"/>
    </row>
    <row r="482" spans="3:3" ht="12" customHeight="1">
      <c r="C482" s="765"/>
    </row>
    <row r="483" spans="3:3" ht="12" customHeight="1">
      <c r="C483" s="765"/>
    </row>
    <row r="484" spans="3:3" ht="12" customHeight="1">
      <c r="C484" s="765"/>
    </row>
    <row r="485" spans="3:3" ht="12" customHeight="1">
      <c r="C485" s="765"/>
    </row>
    <row r="486" spans="3:3" ht="12" customHeight="1">
      <c r="C486" s="765"/>
    </row>
    <row r="487" spans="3:3" ht="12" customHeight="1">
      <c r="C487" s="765"/>
    </row>
    <row r="488" spans="3:3" ht="12" customHeight="1">
      <c r="C488" s="765"/>
    </row>
    <row r="489" spans="3:3" ht="12" customHeight="1">
      <c r="C489" s="765"/>
    </row>
    <row r="490" spans="3:3" ht="12" customHeight="1">
      <c r="C490" s="765"/>
    </row>
    <row r="491" spans="3:3" ht="12" customHeight="1">
      <c r="C491" s="765"/>
    </row>
    <row r="492" spans="3:3" ht="12" customHeight="1">
      <c r="C492" s="765"/>
    </row>
    <row r="493" spans="3:3" ht="12" customHeight="1">
      <c r="C493" s="765"/>
    </row>
    <row r="494" spans="3:3" ht="12" customHeight="1">
      <c r="C494" s="765"/>
    </row>
    <row r="495" spans="3:3" ht="12" customHeight="1">
      <c r="C495" s="765"/>
    </row>
    <row r="496" spans="3:3" ht="12" customHeight="1">
      <c r="C496" s="765"/>
    </row>
    <row r="497" spans="3:3" ht="12" customHeight="1">
      <c r="C497" s="765"/>
    </row>
    <row r="498" spans="3:3" ht="12" customHeight="1">
      <c r="C498" s="765"/>
    </row>
    <row r="499" spans="3:3" ht="12" customHeight="1">
      <c r="C499" s="765"/>
    </row>
    <row r="500" spans="3:3" ht="12" customHeight="1">
      <c r="C500" s="765"/>
    </row>
    <row r="501" spans="3:3" ht="12" customHeight="1">
      <c r="C501" s="765"/>
    </row>
    <row r="502" spans="3:3" ht="12" customHeight="1">
      <c r="C502" s="765"/>
    </row>
    <row r="503" spans="3:3" ht="12" customHeight="1">
      <c r="C503" s="765"/>
    </row>
    <row r="504" spans="3:3" ht="12" customHeight="1">
      <c r="C504" s="765"/>
    </row>
    <row r="505" spans="3:3" ht="12" customHeight="1">
      <c r="C505" s="765"/>
    </row>
    <row r="506" spans="3:3" ht="12" customHeight="1">
      <c r="C506" s="765"/>
    </row>
    <row r="507" spans="3:3" ht="12" customHeight="1">
      <c r="C507" s="765"/>
    </row>
    <row r="508" spans="3:3" ht="12" customHeight="1">
      <c r="C508" s="765"/>
    </row>
    <row r="509" spans="3:3" ht="12" customHeight="1">
      <c r="C509" s="765"/>
    </row>
    <row r="510" spans="3:3" ht="12" customHeight="1">
      <c r="C510" s="765"/>
    </row>
    <row r="511" spans="3:3" ht="12" customHeight="1">
      <c r="C511" s="765"/>
    </row>
    <row r="512" spans="3:3" ht="12" customHeight="1">
      <c r="C512" s="765"/>
    </row>
    <row r="513" spans="3:3" ht="12" customHeight="1">
      <c r="C513" s="765"/>
    </row>
    <row r="514" spans="3:3" ht="12" customHeight="1">
      <c r="C514" s="765"/>
    </row>
    <row r="515" spans="3:3" ht="12" customHeight="1">
      <c r="C515" s="765"/>
    </row>
    <row r="516" spans="3:3" ht="12" customHeight="1">
      <c r="C516" s="765"/>
    </row>
    <row r="517" spans="3:3" ht="12" customHeight="1">
      <c r="C517" s="765"/>
    </row>
    <row r="518" spans="3:3" ht="12" customHeight="1">
      <c r="C518" s="765"/>
    </row>
    <row r="519" spans="3:3" ht="12" customHeight="1">
      <c r="C519" s="765"/>
    </row>
    <row r="520" spans="3:3" ht="12" customHeight="1">
      <c r="C520" s="765"/>
    </row>
    <row r="521" spans="3:3" ht="12" customHeight="1">
      <c r="C521" s="765"/>
    </row>
    <row r="522" spans="3:3" ht="12" customHeight="1">
      <c r="C522" s="765"/>
    </row>
    <row r="523" spans="3:3" ht="12" customHeight="1">
      <c r="C523" s="765"/>
    </row>
    <row r="524" spans="3:3" ht="12" customHeight="1">
      <c r="C524" s="765"/>
    </row>
    <row r="525" spans="3:3" ht="12" customHeight="1">
      <c r="C525" s="765"/>
    </row>
    <row r="526" spans="3:3" ht="12" customHeight="1">
      <c r="C526" s="765"/>
    </row>
    <row r="527" spans="3:3" ht="12" customHeight="1">
      <c r="C527" s="765"/>
    </row>
    <row r="528" spans="3:3" ht="12" customHeight="1">
      <c r="C528" s="765"/>
    </row>
    <row r="529" spans="3:3" ht="12" customHeight="1">
      <c r="C529" s="765"/>
    </row>
    <row r="530" spans="3:3" ht="12" customHeight="1">
      <c r="C530" s="765"/>
    </row>
    <row r="531" spans="3:3" ht="12" customHeight="1">
      <c r="C531" s="765"/>
    </row>
    <row r="532" spans="3:3" ht="12" customHeight="1">
      <c r="C532" s="765"/>
    </row>
    <row r="533" spans="3:3" ht="12" customHeight="1">
      <c r="C533" s="765"/>
    </row>
    <row r="534" spans="3:3" ht="12" customHeight="1">
      <c r="C534" s="765"/>
    </row>
    <row r="535" spans="3:3" ht="12" customHeight="1">
      <c r="C535" s="765"/>
    </row>
    <row r="536" spans="3:3" ht="12" customHeight="1">
      <c r="C536" s="765"/>
    </row>
    <row r="537" spans="3:3" ht="12" customHeight="1">
      <c r="C537" s="765"/>
    </row>
    <row r="538" spans="3:3" ht="12" customHeight="1">
      <c r="C538" s="765"/>
    </row>
    <row r="539" spans="3:3" ht="12" customHeight="1">
      <c r="C539" s="765"/>
    </row>
    <row r="540" spans="3:3" ht="12" customHeight="1">
      <c r="C540" s="765"/>
    </row>
    <row r="541" spans="3:3" ht="12" customHeight="1">
      <c r="C541" s="765"/>
    </row>
    <row r="542" spans="3:3" ht="12" customHeight="1">
      <c r="C542" s="765"/>
    </row>
    <row r="543" spans="3:3" ht="12" customHeight="1">
      <c r="C543" s="765"/>
    </row>
    <row r="544" spans="3:3" ht="12" customHeight="1">
      <c r="C544" s="765"/>
    </row>
    <row r="545" spans="3:3" ht="12" customHeight="1">
      <c r="C545" s="765"/>
    </row>
    <row r="546" spans="3:3" ht="12" customHeight="1">
      <c r="C546" s="765"/>
    </row>
    <row r="547" spans="3:3" ht="12" customHeight="1">
      <c r="C547" s="765"/>
    </row>
    <row r="548" spans="3:3" ht="12" customHeight="1">
      <c r="C548" s="765"/>
    </row>
    <row r="549" spans="3:3" ht="12" customHeight="1">
      <c r="C549" s="765"/>
    </row>
    <row r="550" spans="3:3" ht="12" customHeight="1">
      <c r="C550" s="765"/>
    </row>
    <row r="551" spans="3:3" ht="12" customHeight="1">
      <c r="C551" s="765"/>
    </row>
    <row r="552" spans="3:3" ht="12" customHeight="1">
      <c r="C552" s="765"/>
    </row>
    <row r="553" spans="3:3" ht="12" customHeight="1">
      <c r="C553" s="765"/>
    </row>
    <row r="554" spans="3:3" ht="12" customHeight="1">
      <c r="C554" s="765"/>
    </row>
    <row r="555" spans="3:3" ht="12" customHeight="1">
      <c r="C555" s="765"/>
    </row>
    <row r="556" spans="3:3" ht="12" customHeight="1">
      <c r="C556" s="765"/>
    </row>
    <row r="557" spans="3:3" ht="12" customHeight="1">
      <c r="C557" s="765"/>
    </row>
    <row r="558" spans="3:3" ht="12" customHeight="1">
      <c r="C558" s="765"/>
    </row>
    <row r="559" spans="3:3" ht="12" customHeight="1">
      <c r="C559" s="765"/>
    </row>
    <row r="560" spans="3:3" ht="12" customHeight="1">
      <c r="C560" s="765"/>
    </row>
    <row r="561" spans="3:3" ht="12" customHeight="1">
      <c r="C561" s="765"/>
    </row>
    <row r="562" spans="3:3" ht="12" customHeight="1">
      <c r="C562" s="765"/>
    </row>
    <row r="563" spans="3:3" ht="12" customHeight="1">
      <c r="C563" s="765"/>
    </row>
    <row r="564" spans="3:3" ht="12" customHeight="1">
      <c r="C564" s="765"/>
    </row>
    <row r="565" spans="3:3" ht="12" customHeight="1">
      <c r="C565" s="765"/>
    </row>
    <row r="566" spans="3:3" ht="12" customHeight="1">
      <c r="C566" s="765"/>
    </row>
    <row r="567" spans="3:3" ht="12" customHeight="1">
      <c r="C567" s="765"/>
    </row>
    <row r="568" spans="3:3" ht="12" customHeight="1">
      <c r="C568" s="765"/>
    </row>
    <row r="569" spans="3:3" ht="12" customHeight="1">
      <c r="C569" s="765"/>
    </row>
    <row r="570" spans="3:3" ht="12" customHeight="1">
      <c r="C570" s="765"/>
    </row>
    <row r="571" spans="3:3" ht="12" customHeight="1">
      <c r="C571" s="765"/>
    </row>
    <row r="572" spans="3:3" ht="12" customHeight="1">
      <c r="C572" s="765"/>
    </row>
    <row r="573" spans="3:3" ht="12" customHeight="1">
      <c r="C573" s="765"/>
    </row>
    <row r="574" spans="3:3" ht="12" customHeight="1">
      <c r="C574" s="765"/>
    </row>
    <row r="575" spans="3:3" ht="12" customHeight="1">
      <c r="C575" s="765"/>
    </row>
    <row r="576" spans="3:3" ht="12" customHeight="1">
      <c r="C576" s="765"/>
    </row>
    <row r="577" spans="3:3" ht="12" customHeight="1">
      <c r="C577" s="765"/>
    </row>
    <row r="578" spans="3:3" ht="12" customHeight="1">
      <c r="C578" s="765"/>
    </row>
    <row r="579" spans="3:3" ht="12" customHeight="1">
      <c r="C579" s="765"/>
    </row>
    <row r="580" spans="3:3" ht="12" customHeight="1">
      <c r="C580" s="765"/>
    </row>
    <row r="581" spans="3:3" ht="12" customHeight="1">
      <c r="C581" s="765"/>
    </row>
    <row r="582" spans="3:3" ht="12" customHeight="1">
      <c r="C582" s="765"/>
    </row>
    <row r="583" spans="3:3" ht="12" customHeight="1">
      <c r="C583" s="765"/>
    </row>
    <row r="584" spans="3:3" ht="12" customHeight="1">
      <c r="C584" s="765"/>
    </row>
    <row r="585" spans="3:3" ht="12" customHeight="1">
      <c r="C585" s="765"/>
    </row>
    <row r="586" spans="3:3" ht="12" customHeight="1">
      <c r="C586" s="765"/>
    </row>
    <row r="587" spans="3:3" ht="12" customHeight="1">
      <c r="C587" s="765"/>
    </row>
    <row r="588" spans="3:3" ht="12" customHeight="1">
      <c r="C588" s="765"/>
    </row>
    <row r="589" spans="3:3" ht="12" customHeight="1">
      <c r="C589" s="765"/>
    </row>
    <row r="590" spans="3:3" ht="12" customHeight="1">
      <c r="C590" s="765"/>
    </row>
    <row r="591" spans="3:3" ht="12" customHeight="1">
      <c r="C591" s="765"/>
    </row>
    <row r="592" spans="3:3" ht="12" customHeight="1">
      <c r="C592" s="765"/>
    </row>
    <row r="593" spans="3:3" ht="12" customHeight="1">
      <c r="C593" s="765"/>
    </row>
    <row r="594" spans="3:3" ht="12" customHeight="1">
      <c r="C594" s="765"/>
    </row>
    <row r="595" spans="3:3" ht="12" customHeight="1">
      <c r="C595" s="765"/>
    </row>
    <row r="596" spans="3:3" ht="12" customHeight="1">
      <c r="C596" s="765"/>
    </row>
    <row r="597" spans="3:3" ht="12" customHeight="1">
      <c r="C597" s="765"/>
    </row>
    <row r="598" spans="3:3" ht="12" customHeight="1">
      <c r="C598" s="765"/>
    </row>
    <row r="599" spans="3:3" ht="12" customHeight="1">
      <c r="C599" s="765"/>
    </row>
    <row r="600" spans="3:3" ht="12" customHeight="1">
      <c r="C600" s="765"/>
    </row>
    <row r="601" spans="3:3" ht="12" customHeight="1">
      <c r="C601" s="765"/>
    </row>
    <row r="602" spans="3:3" ht="12" customHeight="1">
      <c r="C602" s="765"/>
    </row>
    <row r="603" spans="3:3" ht="12" customHeight="1">
      <c r="C603" s="765"/>
    </row>
    <row r="604" spans="3:3" ht="12" customHeight="1">
      <c r="C604" s="765"/>
    </row>
    <row r="605" spans="3:3" ht="12" customHeight="1">
      <c r="C605" s="765"/>
    </row>
    <row r="606" spans="3:3" ht="12" customHeight="1">
      <c r="C606" s="765"/>
    </row>
    <row r="607" spans="3:3" ht="12" customHeight="1">
      <c r="C607" s="765"/>
    </row>
    <row r="608" spans="3:3" ht="12" customHeight="1">
      <c r="C608" s="765"/>
    </row>
    <row r="609" spans="3:3" ht="12" customHeight="1">
      <c r="C609" s="765"/>
    </row>
    <row r="610" spans="3:3" ht="12" customHeight="1">
      <c r="C610" s="765"/>
    </row>
    <row r="611" spans="3:3" ht="12" customHeight="1">
      <c r="C611" s="765"/>
    </row>
    <row r="612" spans="3:3" ht="12" customHeight="1">
      <c r="C612" s="765"/>
    </row>
    <row r="613" spans="3:3" ht="12" customHeight="1">
      <c r="C613" s="765"/>
    </row>
    <row r="614" spans="3:3" ht="12" customHeight="1">
      <c r="C614" s="765"/>
    </row>
    <row r="615" spans="3:3" ht="12" customHeight="1">
      <c r="C615" s="765"/>
    </row>
    <row r="616" spans="3:3" ht="12" customHeight="1">
      <c r="C616" s="765"/>
    </row>
    <row r="617" spans="3:3" ht="12" customHeight="1">
      <c r="C617" s="765"/>
    </row>
    <row r="618" spans="3:3" ht="12" customHeight="1">
      <c r="C618" s="765"/>
    </row>
    <row r="619" spans="3:3" ht="12" customHeight="1">
      <c r="C619" s="765"/>
    </row>
    <row r="620" spans="3:3" ht="12" customHeight="1">
      <c r="C620" s="765"/>
    </row>
    <row r="621" spans="3:3" ht="12" customHeight="1">
      <c r="C621" s="765"/>
    </row>
    <row r="622" spans="3:3" ht="12" customHeight="1">
      <c r="C622" s="765"/>
    </row>
    <row r="623" spans="3:3" ht="12" customHeight="1">
      <c r="C623" s="765"/>
    </row>
    <row r="624" spans="3:3" ht="12" customHeight="1">
      <c r="C624" s="765"/>
    </row>
    <row r="625" spans="3:3" ht="12" customHeight="1">
      <c r="C625" s="765"/>
    </row>
    <row r="626" spans="3:3" ht="12" customHeight="1">
      <c r="C626" s="765"/>
    </row>
    <row r="627" spans="3:3" ht="12" customHeight="1">
      <c r="C627" s="765"/>
    </row>
    <row r="628" spans="3:3" ht="12" customHeight="1">
      <c r="C628" s="765"/>
    </row>
    <row r="629" spans="3:3" ht="12" customHeight="1">
      <c r="C629" s="765"/>
    </row>
    <row r="630" spans="3:3" ht="12" customHeight="1">
      <c r="C630" s="765"/>
    </row>
    <row r="631" spans="3:3" ht="12" customHeight="1">
      <c r="C631" s="765"/>
    </row>
    <row r="632" spans="3:3" ht="12" customHeight="1">
      <c r="C632" s="765"/>
    </row>
    <row r="633" spans="3:3" ht="12" customHeight="1">
      <c r="C633" s="765"/>
    </row>
    <row r="634" spans="3:3" ht="12" customHeight="1">
      <c r="C634" s="765"/>
    </row>
    <row r="635" spans="3:3" ht="12" customHeight="1">
      <c r="C635" s="765"/>
    </row>
    <row r="636" spans="3:3" ht="12" customHeight="1">
      <c r="C636" s="765"/>
    </row>
    <row r="637" spans="3:3" ht="12" customHeight="1">
      <c r="C637" s="765"/>
    </row>
    <row r="638" spans="3:3" ht="12" customHeight="1">
      <c r="C638" s="765"/>
    </row>
    <row r="639" spans="3:3" ht="12" customHeight="1">
      <c r="C639" s="765"/>
    </row>
    <row r="640" spans="3:3" ht="12" customHeight="1">
      <c r="C640" s="765"/>
    </row>
    <row r="641" spans="3:3" ht="12" customHeight="1">
      <c r="C641" s="765"/>
    </row>
    <row r="642" spans="3:3" ht="12" customHeight="1">
      <c r="C642" s="765"/>
    </row>
    <row r="643" spans="3:3" ht="12" customHeight="1">
      <c r="C643" s="765"/>
    </row>
    <row r="644" spans="3:3" ht="12" customHeight="1">
      <c r="C644" s="765"/>
    </row>
    <row r="645" spans="3:3" ht="12" customHeight="1">
      <c r="C645" s="765"/>
    </row>
    <row r="646" spans="3:3" ht="12" customHeight="1">
      <c r="C646" s="765"/>
    </row>
    <row r="647" spans="3:3" ht="12" customHeight="1">
      <c r="C647" s="765"/>
    </row>
    <row r="648" spans="3:3" ht="12" customHeight="1">
      <c r="C648" s="765"/>
    </row>
    <row r="649" spans="3:3" ht="12" customHeight="1">
      <c r="C649" s="765"/>
    </row>
    <row r="650" spans="3:3" ht="12" customHeight="1">
      <c r="C650" s="765"/>
    </row>
    <row r="651" spans="3:3" ht="12" customHeight="1">
      <c r="C651" s="765"/>
    </row>
    <row r="652" spans="3:3" ht="12" customHeight="1">
      <c r="C652" s="765"/>
    </row>
    <row r="653" spans="3:3" ht="12" customHeight="1">
      <c r="C653" s="765"/>
    </row>
    <row r="654" spans="3:3" ht="12" customHeight="1">
      <c r="C654" s="765"/>
    </row>
    <row r="655" spans="3:3" ht="12" customHeight="1">
      <c r="C655" s="765"/>
    </row>
    <row r="656" spans="3:3" ht="12" customHeight="1">
      <c r="C656" s="765"/>
    </row>
    <row r="657" spans="3:3" ht="12" customHeight="1">
      <c r="C657" s="765"/>
    </row>
    <row r="658" spans="3:3" ht="12" customHeight="1">
      <c r="C658" s="765"/>
    </row>
    <row r="659" spans="3:3" ht="12" customHeight="1">
      <c r="C659" s="765"/>
    </row>
    <row r="660" spans="3:3" ht="12" customHeight="1">
      <c r="C660" s="765"/>
    </row>
    <row r="661" spans="3:3" ht="12" customHeight="1">
      <c r="C661" s="765"/>
    </row>
    <row r="662" spans="3:3" ht="12" customHeight="1">
      <c r="C662" s="765"/>
    </row>
    <row r="663" spans="3:3" ht="12" customHeight="1">
      <c r="C663" s="765"/>
    </row>
    <row r="664" spans="3:3" ht="12" customHeight="1">
      <c r="C664" s="765"/>
    </row>
    <row r="665" spans="3:3" ht="12" customHeight="1">
      <c r="C665" s="765"/>
    </row>
    <row r="666" spans="3:3" ht="12" customHeight="1">
      <c r="C666" s="765"/>
    </row>
    <row r="667" spans="3:3" ht="12" customHeight="1">
      <c r="C667" s="765"/>
    </row>
    <row r="668" spans="3:3" ht="12" customHeight="1">
      <c r="C668" s="765"/>
    </row>
    <row r="669" spans="3:3" ht="12" customHeight="1">
      <c r="C669" s="765"/>
    </row>
    <row r="670" spans="3:3" ht="12" customHeight="1">
      <c r="C670" s="765"/>
    </row>
    <row r="671" spans="3:3" ht="12" customHeight="1">
      <c r="C671" s="765"/>
    </row>
    <row r="672" spans="3:3" ht="12" customHeight="1">
      <c r="C672" s="765"/>
    </row>
    <row r="673" spans="3:3" ht="12" customHeight="1">
      <c r="C673" s="765"/>
    </row>
    <row r="674" spans="3:3" ht="12" customHeight="1">
      <c r="C674" s="765"/>
    </row>
    <row r="675" spans="3:3" ht="12" customHeight="1">
      <c r="C675" s="765"/>
    </row>
    <row r="676" spans="3:3" ht="12" customHeight="1">
      <c r="C676" s="765"/>
    </row>
    <row r="677" spans="3:3" ht="12" customHeight="1">
      <c r="C677" s="765"/>
    </row>
    <row r="678" spans="3:3" ht="12" customHeight="1">
      <c r="C678" s="765"/>
    </row>
    <row r="679" spans="3:3" ht="12" customHeight="1">
      <c r="C679" s="765"/>
    </row>
    <row r="680" spans="3:3" ht="12" customHeight="1">
      <c r="C680" s="765"/>
    </row>
    <row r="681" spans="3:3" ht="12" customHeight="1">
      <c r="C681" s="765"/>
    </row>
    <row r="682" spans="3:3" ht="12" customHeight="1">
      <c r="C682" s="765"/>
    </row>
    <row r="683" spans="3:3" ht="12" customHeight="1">
      <c r="C683" s="765"/>
    </row>
    <row r="684" spans="3:3" ht="12" customHeight="1">
      <c r="C684" s="765"/>
    </row>
    <row r="685" spans="3:3" ht="12" customHeight="1">
      <c r="C685" s="765"/>
    </row>
    <row r="686" spans="3:3" ht="12" customHeight="1">
      <c r="C686" s="765"/>
    </row>
    <row r="687" spans="3:3" ht="12" customHeight="1">
      <c r="C687" s="765"/>
    </row>
    <row r="688" spans="3:3" ht="12" customHeight="1">
      <c r="C688" s="765"/>
    </row>
    <row r="689" spans="3:3" ht="12" customHeight="1">
      <c r="C689" s="765"/>
    </row>
    <row r="690" spans="3:3" ht="12" customHeight="1">
      <c r="C690" s="765"/>
    </row>
    <row r="691" spans="3:3" ht="12" customHeight="1">
      <c r="C691" s="765"/>
    </row>
    <row r="692" spans="3:3" ht="12" customHeight="1">
      <c r="C692" s="765"/>
    </row>
    <row r="693" spans="3:3" ht="12" customHeight="1">
      <c r="C693" s="765"/>
    </row>
    <row r="694" spans="3:3" ht="12" customHeight="1">
      <c r="C694" s="765"/>
    </row>
    <row r="695" spans="3:3" ht="12" customHeight="1">
      <c r="C695" s="765"/>
    </row>
    <row r="696" spans="3:3" ht="12" customHeight="1">
      <c r="C696" s="765"/>
    </row>
    <row r="697" spans="3:3" ht="12" customHeight="1">
      <c r="C697" s="765"/>
    </row>
    <row r="698" spans="3:3" ht="12" customHeight="1">
      <c r="C698" s="765"/>
    </row>
    <row r="699" spans="3:3" ht="12" customHeight="1">
      <c r="C699" s="765"/>
    </row>
    <row r="700" spans="3:3" ht="12" customHeight="1">
      <c r="C700" s="765"/>
    </row>
    <row r="701" spans="3:3" ht="12" customHeight="1">
      <c r="C701" s="765"/>
    </row>
    <row r="702" spans="3:3" ht="12" customHeight="1">
      <c r="C702" s="765"/>
    </row>
    <row r="703" spans="3:3" ht="12" customHeight="1">
      <c r="C703" s="765"/>
    </row>
    <row r="704" spans="3:3" ht="12" customHeight="1">
      <c r="C704" s="765"/>
    </row>
    <row r="705" spans="3:3" ht="12" customHeight="1">
      <c r="C705" s="765"/>
    </row>
    <row r="706" spans="3:3" ht="12" customHeight="1">
      <c r="C706" s="765"/>
    </row>
    <row r="707" spans="3:3" ht="12" customHeight="1">
      <c r="C707" s="765"/>
    </row>
    <row r="708" spans="3:3" ht="12" customHeight="1">
      <c r="C708" s="765"/>
    </row>
    <row r="709" spans="3:3" ht="12" customHeight="1">
      <c r="C709" s="765"/>
    </row>
    <row r="710" spans="3:3" ht="12" customHeight="1">
      <c r="C710" s="765"/>
    </row>
    <row r="711" spans="3:3" ht="12" customHeight="1">
      <c r="C711" s="765"/>
    </row>
    <row r="712" spans="3:3" ht="12" customHeight="1">
      <c r="C712" s="765"/>
    </row>
    <row r="713" spans="3:3" ht="12" customHeight="1">
      <c r="C713" s="765"/>
    </row>
    <row r="714" spans="3:3" ht="12" customHeight="1">
      <c r="C714" s="765"/>
    </row>
    <row r="715" spans="3:3" ht="12" customHeight="1">
      <c r="C715" s="765"/>
    </row>
    <row r="716" spans="3:3" ht="12" customHeight="1">
      <c r="C716" s="765"/>
    </row>
    <row r="717" spans="3:3" ht="12" customHeight="1">
      <c r="C717" s="765"/>
    </row>
    <row r="718" spans="3:3" ht="12" customHeight="1">
      <c r="C718" s="765"/>
    </row>
    <row r="719" spans="3:3" ht="12" customHeight="1">
      <c r="C719" s="765"/>
    </row>
    <row r="720" spans="3:3" ht="12" customHeight="1">
      <c r="C720" s="765"/>
    </row>
    <row r="721" spans="3:3" ht="12" customHeight="1">
      <c r="C721" s="765"/>
    </row>
    <row r="722" spans="3:3" ht="12" customHeight="1">
      <c r="C722" s="765"/>
    </row>
    <row r="723" spans="3:3" ht="12" customHeight="1">
      <c r="C723" s="765"/>
    </row>
    <row r="724" spans="3:3" ht="12" customHeight="1">
      <c r="C724" s="765"/>
    </row>
    <row r="725" spans="3:3" ht="12" customHeight="1">
      <c r="C725" s="765"/>
    </row>
    <row r="726" spans="3:3" ht="12" customHeight="1">
      <c r="C726" s="765"/>
    </row>
    <row r="727" spans="3:3" ht="12" customHeight="1">
      <c r="C727" s="765"/>
    </row>
    <row r="728" spans="3:3" ht="12" customHeight="1">
      <c r="C728" s="765"/>
    </row>
    <row r="729" spans="3:3" ht="12" customHeight="1">
      <c r="C729" s="765"/>
    </row>
    <row r="730" spans="3:3" ht="12" customHeight="1">
      <c r="C730" s="765"/>
    </row>
    <row r="731" spans="3:3" ht="12" customHeight="1">
      <c r="C731" s="765"/>
    </row>
    <row r="732" spans="3:3" ht="12" customHeight="1">
      <c r="C732" s="765"/>
    </row>
    <row r="733" spans="3:3" ht="12" customHeight="1">
      <c r="C733" s="765"/>
    </row>
    <row r="734" spans="3:3" ht="12" customHeight="1">
      <c r="C734" s="765"/>
    </row>
    <row r="735" spans="3:3" ht="12" customHeight="1">
      <c r="C735" s="765"/>
    </row>
    <row r="736" spans="3:3" ht="12" customHeight="1">
      <c r="C736" s="765"/>
    </row>
    <row r="737" spans="3:3" ht="12" customHeight="1">
      <c r="C737" s="765"/>
    </row>
    <row r="738" spans="3:3" ht="12" customHeight="1">
      <c r="C738" s="765"/>
    </row>
    <row r="739" spans="3:3" ht="12" customHeight="1">
      <c r="C739" s="765"/>
    </row>
    <row r="740" spans="3:3" ht="12" customHeight="1">
      <c r="C740" s="765"/>
    </row>
    <row r="741" spans="3:3" ht="12" customHeight="1">
      <c r="C741" s="765"/>
    </row>
    <row r="742" spans="3:3" ht="12" customHeight="1">
      <c r="C742" s="765"/>
    </row>
    <row r="743" spans="3:3" ht="12" customHeight="1">
      <c r="C743" s="765"/>
    </row>
    <row r="744" spans="3:3" ht="12" customHeight="1">
      <c r="C744" s="765"/>
    </row>
    <row r="745" spans="3:3" ht="12" customHeight="1">
      <c r="C745" s="765"/>
    </row>
    <row r="746" spans="3:3" ht="12" customHeight="1">
      <c r="C746" s="765"/>
    </row>
    <row r="747" spans="3:3" ht="12" customHeight="1">
      <c r="C747" s="765"/>
    </row>
    <row r="748" spans="3:3" ht="12" customHeight="1">
      <c r="C748" s="765"/>
    </row>
    <row r="749" spans="3:3" ht="12" customHeight="1">
      <c r="C749" s="765"/>
    </row>
    <row r="750" spans="3:3" ht="12" customHeight="1">
      <c r="C750" s="765"/>
    </row>
    <row r="751" spans="3:3" ht="12" customHeight="1">
      <c r="C751" s="765"/>
    </row>
    <row r="752" spans="3:3" ht="12" customHeight="1">
      <c r="C752" s="765"/>
    </row>
    <row r="753" spans="3:3" ht="12" customHeight="1">
      <c r="C753" s="765"/>
    </row>
    <row r="754" spans="3:3" ht="12" customHeight="1">
      <c r="C754" s="765"/>
    </row>
    <row r="755" spans="3:3" ht="12" customHeight="1">
      <c r="C755" s="765"/>
    </row>
    <row r="756" spans="3:3" ht="12" customHeight="1">
      <c r="C756" s="765"/>
    </row>
    <row r="757" spans="3:3" ht="12" customHeight="1">
      <c r="C757" s="765"/>
    </row>
    <row r="758" spans="3:3" ht="12" customHeight="1">
      <c r="C758" s="765"/>
    </row>
    <row r="759" spans="3:3" ht="12" customHeight="1">
      <c r="C759" s="765"/>
    </row>
    <row r="760" spans="3:3" ht="12" customHeight="1">
      <c r="C760" s="765"/>
    </row>
    <row r="761" spans="3:3" ht="12" customHeight="1">
      <c r="C761" s="765"/>
    </row>
    <row r="762" spans="3:3" ht="12" customHeight="1">
      <c r="C762" s="765"/>
    </row>
    <row r="763" spans="3:3" ht="12" customHeight="1">
      <c r="C763" s="765"/>
    </row>
    <row r="764" spans="3:3" ht="12" customHeight="1">
      <c r="C764" s="765"/>
    </row>
    <row r="765" spans="3:3" ht="12" customHeight="1">
      <c r="C765" s="765"/>
    </row>
    <row r="766" spans="3:3" ht="12" customHeight="1">
      <c r="C766" s="765"/>
    </row>
    <row r="767" spans="3:3" ht="12" customHeight="1">
      <c r="C767" s="765"/>
    </row>
    <row r="768" spans="3:3" ht="12" customHeight="1">
      <c r="C768" s="765"/>
    </row>
    <row r="769" spans="3:3" ht="12" customHeight="1">
      <c r="C769" s="765"/>
    </row>
    <row r="770" spans="3:3" ht="12" customHeight="1">
      <c r="C770" s="765"/>
    </row>
    <row r="771" spans="3:3" ht="12" customHeight="1">
      <c r="C771" s="765"/>
    </row>
    <row r="772" spans="3:3" ht="12" customHeight="1">
      <c r="C772" s="765"/>
    </row>
    <row r="773" spans="3:3" ht="12" customHeight="1">
      <c r="C773" s="765"/>
    </row>
    <row r="774" spans="3:3" ht="12" customHeight="1">
      <c r="C774" s="765"/>
    </row>
    <row r="775" spans="3:3" ht="12" customHeight="1">
      <c r="C775" s="765"/>
    </row>
    <row r="776" spans="3:3" ht="12" customHeight="1">
      <c r="C776" s="765"/>
    </row>
    <row r="777" spans="3:3" ht="12" customHeight="1">
      <c r="C777" s="765"/>
    </row>
    <row r="778" spans="3:3" ht="12" customHeight="1">
      <c r="C778" s="765"/>
    </row>
    <row r="779" spans="3:3" ht="12" customHeight="1">
      <c r="C779" s="765"/>
    </row>
    <row r="780" spans="3:3" ht="12" customHeight="1">
      <c r="C780" s="765"/>
    </row>
    <row r="781" spans="3:3" ht="12" customHeight="1">
      <c r="C781" s="765"/>
    </row>
    <row r="782" spans="3:3" ht="12" customHeight="1">
      <c r="C782" s="765"/>
    </row>
    <row r="783" spans="3:3" ht="12" customHeight="1">
      <c r="C783" s="765"/>
    </row>
    <row r="784" spans="3:3" ht="12" customHeight="1">
      <c r="C784" s="765"/>
    </row>
    <row r="785" spans="3:3" ht="12" customHeight="1">
      <c r="C785" s="765"/>
    </row>
    <row r="786" spans="3:3" ht="12" customHeight="1">
      <c r="C786" s="765"/>
    </row>
    <row r="787" spans="3:3" ht="12" customHeight="1">
      <c r="C787" s="765"/>
    </row>
    <row r="788" spans="3:3" ht="12" customHeight="1">
      <c r="C788" s="765"/>
    </row>
    <row r="789" spans="3:3" ht="12" customHeight="1">
      <c r="C789" s="765"/>
    </row>
    <row r="790" spans="3:3" ht="12" customHeight="1">
      <c r="C790" s="765"/>
    </row>
    <row r="791" spans="3:3" ht="12" customHeight="1">
      <c r="C791" s="765"/>
    </row>
    <row r="792" spans="3:3" ht="12" customHeight="1">
      <c r="C792" s="765"/>
    </row>
    <row r="793" spans="3:3" ht="12" customHeight="1">
      <c r="C793" s="765"/>
    </row>
    <row r="794" spans="3:3" ht="12" customHeight="1">
      <c r="C794" s="765"/>
    </row>
    <row r="795" spans="3:3" ht="12" customHeight="1">
      <c r="C795" s="765"/>
    </row>
    <row r="796" spans="3:3" ht="12" customHeight="1">
      <c r="C796" s="765"/>
    </row>
    <row r="797" spans="3:3" ht="12" customHeight="1">
      <c r="C797" s="765"/>
    </row>
    <row r="798" spans="3:3" ht="12" customHeight="1">
      <c r="C798" s="765"/>
    </row>
    <row r="799" spans="3:3" ht="12" customHeight="1">
      <c r="C799" s="765"/>
    </row>
    <row r="800" spans="3:3" ht="12" customHeight="1">
      <c r="C800" s="765"/>
    </row>
    <row r="801" spans="3:3" ht="12" customHeight="1">
      <c r="C801" s="765"/>
    </row>
    <row r="802" spans="3:3" ht="12" customHeight="1">
      <c r="C802" s="765"/>
    </row>
    <row r="803" spans="3:3" ht="12" customHeight="1">
      <c r="C803" s="765"/>
    </row>
    <row r="804" spans="3:3" ht="12" customHeight="1">
      <c r="C804" s="765"/>
    </row>
    <row r="805" spans="3:3" ht="12" customHeight="1">
      <c r="C805" s="765"/>
    </row>
    <row r="806" spans="3:3" ht="12" customHeight="1">
      <c r="C806" s="765"/>
    </row>
    <row r="807" spans="3:3" ht="12" customHeight="1">
      <c r="C807" s="765"/>
    </row>
    <row r="808" spans="3:3" ht="12" customHeight="1">
      <c r="C808" s="765"/>
    </row>
    <row r="809" spans="3:3" ht="12" customHeight="1">
      <c r="C809" s="765"/>
    </row>
    <row r="810" spans="3:3" ht="12" customHeight="1">
      <c r="C810" s="765"/>
    </row>
    <row r="811" spans="3:3" ht="12" customHeight="1">
      <c r="C811" s="765"/>
    </row>
    <row r="812" spans="3:3" ht="12" customHeight="1">
      <c r="C812" s="765"/>
    </row>
    <row r="813" spans="3:3" ht="12" customHeight="1">
      <c r="C813" s="765"/>
    </row>
    <row r="814" spans="3:3" ht="12" customHeight="1">
      <c r="C814" s="765"/>
    </row>
    <row r="815" spans="3:3" ht="12" customHeight="1">
      <c r="C815" s="765"/>
    </row>
    <row r="816" spans="3:3" ht="12" customHeight="1">
      <c r="C816" s="765"/>
    </row>
    <row r="817" spans="3:3" ht="12" customHeight="1">
      <c r="C817" s="765"/>
    </row>
    <row r="818" spans="3:3" ht="12" customHeight="1">
      <c r="C818" s="765"/>
    </row>
    <row r="819" spans="3:3" ht="12" customHeight="1">
      <c r="C819" s="765"/>
    </row>
    <row r="820" spans="3:3" ht="12" customHeight="1">
      <c r="C820" s="765"/>
    </row>
    <row r="821" spans="3:3" ht="12" customHeight="1">
      <c r="C821" s="765"/>
    </row>
    <row r="822" spans="3:3" ht="12" customHeight="1">
      <c r="C822" s="765"/>
    </row>
    <row r="823" spans="3:3" ht="12" customHeight="1">
      <c r="C823" s="765"/>
    </row>
    <row r="824" spans="3:3" ht="12" customHeight="1">
      <c r="C824" s="765"/>
    </row>
    <row r="825" spans="3:3" ht="12" customHeight="1">
      <c r="C825" s="765"/>
    </row>
    <row r="826" spans="3:3" ht="12" customHeight="1">
      <c r="C826" s="765"/>
    </row>
    <row r="827" spans="3:3" ht="12" customHeight="1">
      <c r="C827" s="765"/>
    </row>
    <row r="828" spans="3:3" ht="12" customHeight="1">
      <c r="C828" s="765"/>
    </row>
    <row r="829" spans="3:3" ht="12" customHeight="1">
      <c r="C829" s="765"/>
    </row>
    <row r="830" spans="3:3" ht="12" customHeight="1">
      <c r="C830" s="765"/>
    </row>
    <row r="831" spans="3:3" ht="12" customHeight="1">
      <c r="C831" s="765"/>
    </row>
    <row r="832" spans="3:3" ht="12" customHeight="1">
      <c r="C832" s="765"/>
    </row>
    <row r="833" spans="3:3" ht="12" customHeight="1">
      <c r="C833" s="765"/>
    </row>
    <row r="834" spans="3:3" ht="12" customHeight="1">
      <c r="C834" s="765"/>
    </row>
    <row r="835" spans="3:3" ht="12" customHeight="1">
      <c r="C835" s="765"/>
    </row>
    <row r="836" spans="3:3" ht="12" customHeight="1">
      <c r="C836" s="765"/>
    </row>
    <row r="837" spans="3:3" ht="12" customHeight="1">
      <c r="C837" s="765"/>
    </row>
    <row r="838" spans="3:3" ht="12" customHeight="1">
      <c r="C838" s="765"/>
    </row>
    <row r="839" spans="3:3" ht="12" customHeight="1">
      <c r="C839" s="765"/>
    </row>
    <row r="840" spans="3:3" ht="12" customHeight="1">
      <c r="C840" s="765"/>
    </row>
    <row r="841" spans="3:3" ht="12" customHeight="1">
      <c r="C841" s="765"/>
    </row>
    <row r="842" spans="3:3" ht="12" customHeight="1">
      <c r="C842" s="765"/>
    </row>
    <row r="843" spans="3:3" ht="12" customHeight="1">
      <c r="C843" s="765"/>
    </row>
    <row r="844" spans="3:3" ht="12" customHeight="1">
      <c r="C844" s="765"/>
    </row>
    <row r="845" spans="3:3" ht="12" customHeight="1">
      <c r="C845" s="765"/>
    </row>
    <row r="846" spans="3:3" ht="12" customHeight="1">
      <c r="C846" s="765"/>
    </row>
    <row r="847" spans="3:3" ht="12" customHeight="1">
      <c r="C847" s="765"/>
    </row>
    <row r="848" spans="3:3" ht="12" customHeight="1">
      <c r="C848" s="765"/>
    </row>
    <row r="849" spans="3:3" ht="12" customHeight="1">
      <c r="C849" s="765"/>
    </row>
    <row r="850" spans="3:3" ht="12" customHeight="1">
      <c r="C850" s="765"/>
    </row>
    <row r="851" spans="3:3" ht="12" customHeight="1">
      <c r="C851" s="765"/>
    </row>
    <row r="852" spans="3:3" ht="12" customHeight="1">
      <c r="C852" s="765"/>
    </row>
    <row r="853" spans="3:3" ht="12" customHeight="1">
      <c r="C853" s="765"/>
    </row>
    <row r="854" spans="3:3" ht="12" customHeight="1">
      <c r="C854" s="765"/>
    </row>
    <row r="855" spans="3:3" ht="12" customHeight="1">
      <c r="C855" s="765"/>
    </row>
    <row r="856" spans="3:3" ht="12" customHeight="1">
      <c r="C856" s="765"/>
    </row>
    <row r="857" spans="3:3" ht="12" customHeight="1">
      <c r="C857" s="765"/>
    </row>
    <row r="858" spans="3:3" ht="12" customHeight="1">
      <c r="C858" s="765"/>
    </row>
    <row r="859" spans="3:3" ht="12" customHeight="1">
      <c r="C859" s="765"/>
    </row>
    <row r="860" spans="3:3" ht="12" customHeight="1">
      <c r="C860" s="765"/>
    </row>
    <row r="861" spans="3:3" ht="12" customHeight="1">
      <c r="C861" s="765"/>
    </row>
    <row r="862" spans="3:3" ht="12" customHeight="1">
      <c r="C862" s="765"/>
    </row>
    <row r="863" spans="3:3" ht="12" customHeight="1">
      <c r="C863" s="765"/>
    </row>
    <row r="864" spans="3:3" ht="12" customHeight="1">
      <c r="C864" s="765"/>
    </row>
    <row r="865" spans="3:3" ht="12" customHeight="1">
      <c r="C865" s="765"/>
    </row>
    <row r="866" spans="3:3" ht="12" customHeight="1">
      <c r="C866" s="765"/>
    </row>
    <row r="867" spans="3:3" ht="12" customHeight="1">
      <c r="C867" s="765"/>
    </row>
    <row r="868" spans="3:3" ht="12" customHeight="1">
      <c r="C868" s="765"/>
    </row>
    <row r="869" spans="3:3" ht="12" customHeight="1">
      <c r="C869" s="765"/>
    </row>
    <row r="870" spans="3:3" ht="12" customHeight="1">
      <c r="C870" s="765"/>
    </row>
    <row r="871" spans="3:3" ht="12" customHeight="1">
      <c r="C871" s="765"/>
    </row>
    <row r="872" spans="3:3" ht="12" customHeight="1">
      <c r="C872" s="765"/>
    </row>
    <row r="873" spans="3:3" ht="12" customHeight="1">
      <c r="C873" s="765"/>
    </row>
    <row r="874" spans="3:3" ht="12" customHeight="1">
      <c r="C874" s="765"/>
    </row>
    <row r="875" spans="3:3" ht="12" customHeight="1">
      <c r="C875" s="765"/>
    </row>
    <row r="876" spans="3:3" ht="12" customHeight="1">
      <c r="C876" s="765"/>
    </row>
    <row r="877" spans="3:3" ht="12" customHeight="1">
      <c r="C877" s="765"/>
    </row>
    <row r="878" spans="3:3" ht="12" customHeight="1">
      <c r="C878" s="765"/>
    </row>
    <row r="879" spans="3:3" ht="12" customHeight="1">
      <c r="C879" s="765"/>
    </row>
    <row r="880" spans="3:3" ht="12" customHeight="1">
      <c r="C880" s="765"/>
    </row>
    <row r="881" spans="3:3" ht="12" customHeight="1">
      <c r="C881" s="765"/>
    </row>
    <row r="882" spans="3:3" ht="12" customHeight="1">
      <c r="C882" s="765"/>
    </row>
    <row r="883" spans="3:3" ht="12" customHeight="1">
      <c r="C883" s="765"/>
    </row>
    <row r="884" spans="3:3" ht="12" customHeight="1">
      <c r="C884" s="765"/>
    </row>
    <row r="885" spans="3:3" ht="12" customHeight="1">
      <c r="C885" s="765"/>
    </row>
    <row r="886" spans="3:3" ht="12" customHeight="1">
      <c r="C886" s="765"/>
    </row>
    <row r="887" spans="3:3" ht="12" customHeight="1">
      <c r="C887" s="765"/>
    </row>
    <row r="888" spans="3:3" ht="12" customHeight="1">
      <c r="C888" s="765"/>
    </row>
    <row r="889" spans="3:3" ht="12" customHeight="1">
      <c r="C889" s="765"/>
    </row>
    <row r="890" spans="3:3" ht="12" customHeight="1">
      <c r="C890" s="765"/>
    </row>
    <row r="891" spans="3:3" ht="12" customHeight="1">
      <c r="C891" s="765"/>
    </row>
    <row r="892" spans="3:3" ht="12" customHeight="1">
      <c r="C892" s="765"/>
    </row>
    <row r="893" spans="3:3" ht="12" customHeight="1">
      <c r="C893" s="765"/>
    </row>
    <row r="894" spans="3:3" ht="12" customHeight="1">
      <c r="C894" s="765"/>
    </row>
    <row r="895" spans="3:3" ht="12" customHeight="1">
      <c r="C895" s="765"/>
    </row>
    <row r="896" spans="3:3" ht="12" customHeight="1">
      <c r="C896" s="765"/>
    </row>
    <row r="897" spans="3:3" ht="12" customHeight="1">
      <c r="C897" s="765"/>
    </row>
    <row r="898" spans="3:3" ht="12" customHeight="1">
      <c r="C898" s="765"/>
    </row>
    <row r="899" spans="3:3" ht="12" customHeight="1">
      <c r="C899" s="765"/>
    </row>
    <row r="900" spans="3:3" ht="12" customHeight="1">
      <c r="C900" s="765"/>
    </row>
    <row r="901" spans="3:3" ht="12" customHeight="1">
      <c r="C901" s="765"/>
    </row>
    <row r="902" spans="3:3" ht="12" customHeight="1">
      <c r="C902" s="765"/>
    </row>
    <row r="903" spans="3:3" ht="12" customHeight="1">
      <c r="C903" s="765"/>
    </row>
    <row r="904" spans="3:3" ht="12" customHeight="1">
      <c r="C904" s="765"/>
    </row>
    <row r="905" spans="3:3" ht="12" customHeight="1">
      <c r="C905" s="765"/>
    </row>
    <row r="906" spans="3:3" ht="12" customHeight="1">
      <c r="C906" s="765"/>
    </row>
    <row r="907" spans="3:3" ht="12" customHeight="1">
      <c r="C907" s="765"/>
    </row>
    <row r="908" spans="3:3" ht="12" customHeight="1">
      <c r="C908" s="765"/>
    </row>
    <row r="909" spans="3:3" ht="12" customHeight="1">
      <c r="C909" s="765"/>
    </row>
    <row r="910" spans="3:3" ht="12" customHeight="1">
      <c r="C910" s="765"/>
    </row>
    <row r="911" spans="3:3" ht="12" customHeight="1">
      <c r="C911" s="765"/>
    </row>
    <row r="912" spans="3:3" ht="12" customHeight="1">
      <c r="C912" s="765"/>
    </row>
    <row r="913" spans="3:3" ht="12" customHeight="1">
      <c r="C913" s="765"/>
    </row>
    <row r="914" spans="3:3" ht="12" customHeight="1">
      <c r="C914" s="765"/>
    </row>
    <row r="915" spans="3:3" ht="12" customHeight="1">
      <c r="C915" s="765"/>
    </row>
    <row r="916" spans="3:3" ht="12" customHeight="1">
      <c r="C916" s="765"/>
    </row>
    <row r="917" spans="3:3" ht="12" customHeight="1">
      <c r="C917" s="765"/>
    </row>
    <row r="918" spans="3:3" ht="12" customHeight="1">
      <c r="C918" s="765"/>
    </row>
    <row r="919" spans="3:3" ht="12" customHeight="1">
      <c r="C919" s="765"/>
    </row>
    <row r="920" spans="3:3" ht="12" customHeight="1">
      <c r="C920" s="765"/>
    </row>
    <row r="921" spans="3:3" ht="12" customHeight="1">
      <c r="C921" s="765"/>
    </row>
    <row r="922" spans="3:3" ht="12" customHeight="1">
      <c r="C922" s="765"/>
    </row>
    <row r="923" spans="3:3" ht="12" customHeight="1">
      <c r="C923" s="765"/>
    </row>
    <row r="924" spans="3:3" ht="12" customHeight="1">
      <c r="C924" s="765"/>
    </row>
    <row r="925" spans="3:3" ht="12" customHeight="1">
      <c r="C925" s="765"/>
    </row>
    <row r="926" spans="3:3" ht="12" customHeight="1">
      <c r="C926" s="765"/>
    </row>
    <row r="927" spans="3:3" ht="12" customHeight="1">
      <c r="C927" s="765"/>
    </row>
    <row r="928" spans="3:3" ht="12" customHeight="1">
      <c r="C928" s="765"/>
    </row>
    <row r="929" spans="3:3" ht="12" customHeight="1">
      <c r="C929" s="765"/>
    </row>
    <row r="930" spans="3:3" ht="12" customHeight="1">
      <c r="C930" s="765"/>
    </row>
    <row r="931" spans="3:3" ht="12" customHeight="1">
      <c r="C931" s="765"/>
    </row>
    <row r="932" spans="3:3" ht="12" customHeight="1">
      <c r="C932" s="765"/>
    </row>
    <row r="933" spans="3:3" ht="12" customHeight="1">
      <c r="C933" s="765"/>
    </row>
    <row r="934" spans="3:3" ht="12" customHeight="1">
      <c r="C934" s="765"/>
    </row>
    <row r="935" spans="3:3" ht="12" customHeight="1">
      <c r="C935" s="765"/>
    </row>
    <row r="936" spans="3:3" ht="12" customHeight="1">
      <c r="C936" s="765"/>
    </row>
    <row r="937" spans="3:3" ht="12" customHeight="1">
      <c r="C937" s="765"/>
    </row>
    <row r="938" spans="3:3" ht="12" customHeight="1">
      <c r="C938" s="765"/>
    </row>
    <row r="939" spans="3:3" ht="12" customHeight="1">
      <c r="C939" s="765"/>
    </row>
    <row r="940" spans="3:3" ht="12" customHeight="1">
      <c r="C940" s="765"/>
    </row>
    <row r="941" spans="3:3" ht="12" customHeight="1">
      <c r="C941" s="765"/>
    </row>
    <row r="942" spans="3:3" ht="12" customHeight="1">
      <c r="C942" s="765"/>
    </row>
    <row r="943" spans="3:3" ht="12" customHeight="1">
      <c r="C943" s="765"/>
    </row>
    <row r="944" spans="3:3" ht="12" customHeight="1">
      <c r="C944" s="765"/>
    </row>
    <row r="945" spans="3:3" ht="12" customHeight="1">
      <c r="C945" s="765"/>
    </row>
    <row r="946" spans="3:3" ht="12" customHeight="1">
      <c r="C946" s="765"/>
    </row>
    <row r="947" spans="3:3" ht="12" customHeight="1">
      <c r="C947" s="765"/>
    </row>
    <row r="948" spans="3:3" ht="12" customHeight="1">
      <c r="C948" s="765"/>
    </row>
    <row r="949" spans="3:3" ht="12" customHeight="1">
      <c r="C949" s="765"/>
    </row>
    <row r="950" spans="3:3" ht="12" customHeight="1">
      <c r="C950" s="765"/>
    </row>
    <row r="951" spans="3:3" ht="12" customHeight="1">
      <c r="C951" s="765"/>
    </row>
    <row r="952" spans="3:3" ht="12" customHeight="1">
      <c r="C952" s="765"/>
    </row>
    <row r="953" spans="3:3" ht="12" customHeight="1">
      <c r="C953" s="765"/>
    </row>
    <row r="954" spans="3:3" ht="12" customHeight="1">
      <c r="C954" s="765"/>
    </row>
    <row r="955" spans="3:3" ht="12" customHeight="1">
      <c r="C955" s="765"/>
    </row>
    <row r="956" spans="3:3" ht="12" customHeight="1">
      <c r="C956" s="765"/>
    </row>
    <row r="957" spans="3:3" ht="12" customHeight="1">
      <c r="C957" s="765"/>
    </row>
    <row r="958" spans="3:3" ht="12" customHeight="1">
      <c r="C958" s="765"/>
    </row>
    <row r="959" spans="3:3" ht="12" customHeight="1">
      <c r="C959" s="765"/>
    </row>
    <row r="960" spans="3:3" ht="12" customHeight="1">
      <c r="C960" s="765"/>
    </row>
    <row r="961" spans="3:3" ht="12" customHeight="1">
      <c r="C961" s="765"/>
    </row>
    <row r="962" spans="3:3" ht="12" customHeight="1">
      <c r="C962" s="765"/>
    </row>
    <row r="963" spans="3:3" ht="12" customHeight="1">
      <c r="C963" s="765"/>
    </row>
    <row r="964" spans="3:3" ht="12" customHeight="1">
      <c r="C964" s="765"/>
    </row>
    <row r="965" spans="3:3" ht="12" customHeight="1">
      <c r="C965" s="765"/>
    </row>
    <row r="966" spans="3:3" ht="12" customHeight="1">
      <c r="C966" s="765"/>
    </row>
    <row r="967" spans="3:3" ht="12" customHeight="1">
      <c r="C967" s="765"/>
    </row>
    <row r="968" spans="3:3" ht="12" customHeight="1">
      <c r="C968" s="765"/>
    </row>
    <row r="969" spans="3:3" ht="12" customHeight="1">
      <c r="C969" s="765"/>
    </row>
    <row r="970" spans="3:3" ht="12" customHeight="1">
      <c r="C970" s="765"/>
    </row>
    <row r="971" spans="3:3" ht="12" customHeight="1">
      <c r="C971" s="765"/>
    </row>
    <row r="972" spans="3:3" ht="12" customHeight="1">
      <c r="C972" s="765"/>
    </row>
    <row r="973" spans="3:3" ht="12" customHeight="1">
      <c r="C973" s="765"/>
    </row>
    <row r="974" spans="3:3" ht="12" customHeight="1">
      <c r="C974" s="765"/>
    </row>
    <row r="975" spans="3:3" ht="12" customHeight="1">
      <c r="C975" s="765"/>
    </row>
    <row r="976" spans="3:3" ht="12" customHeight="1">
      <c r="C976" s="765"/>
    </row>
    <row r="977" spans="3:3" ht="12" customHeight="1">
      <c r="C977" s="765"/>
    </row>
    <row r="978" spans="3:3" ht="12" customHeight="1">
      <c r="C978" s="765"/>
    </row>
    <row r="979" spans="3:3" ht="12" customHeight="1">
      <c r="C979" s="765"/>
    </row>
    <row r="980" spans="3:3" ht="12" customHeight="1">
      <c r="C980" s="765"/>
    </row>
    <row r="981" spans="3:3" ht="12" customHeight="1">
      <c r="C981" s="765"/>
    </row>
    <row r="982" spans="3:3" ht="12" customHeight="1">
      <c r="C982" s="765"/>
    </row>
    <row r="983" spans="3:3" ht="12" customHeight="1">
      <c r="C983" s="765"/>
    </row>
    <row r="984" spans="3:3" ht="12" customHeight="1">
      <c r="C984" s="765"/>
    </row>
    <row r="985" spans="3:3" ht="12" customHeight="1">
      <c r="C985" s="765"/>
    </row>
    <row r="986" spans="3:3" ht="12" customHeight="1">
      <c r="C986" s="765"/>
    </row>
    <row r="987" spans="3:3" ht="12" customHeight="1">
      <c r="C987" s="765"/>
    </row>
    <row r="988" spans="3:3" ht="12" customHeight="1">
      <c r="C988" s="765"/>
    </row>
    <row r="989" spans="3:3" ht="12" customHeight="1">
      <c r="C989" s="765"/>
    </row>
    <row r="990" spans="3:3" ht="12" customHeight="1">
      <c r="C990" s="765"/>
    </row>
    <row r="991" spans="3:3" ht="12" customHeight="1">
      <c r="C991" s="765"/>
    </row>
    <row r="992" spans="3:3" ht="12" customHeight="1">
      <c r="C992" s="765"/>
    </row>
    <row r="993" spans="3:3" ht="12" customHeight="1">
      <c r="C993" s="765"/>
    </row>
    <row r="994" spans="3:3" ht="12" customHeight="1">
      <c r="C994" s="765"/>
    </row>
    <row r="995" spans="3:3" ht="12" customHeight="1">
      <c r="C995" s="765"/>
    </row>
    <row r="996" spans="3:3" ht="12" customHeight="1">
      <c r="C996" s="765"/>
    </row>
    <row r="997" spans="3:3" ht="12" customHeight="1">
      <c r="C997" s="765"/>
    </row>
    <row r="998" spans="3:3" ht="12" customHeight="1">
      <c r="C998" s="765"/>
    </row>
    <row r="999" spans="3:3" ht="12" customHeight="1">
      <c r="C999" s="765"/>
    </row>
    <row r="1000" spans="3:3" ht="12" customHeight="1">
      <c r="C1000" s="765"/>
    </row>
    <row r="1001" spans="3:3" ht="12" customHeight="1">
      <c r="C1001" s="765"/>
    </row>
    <row r="1002" spans="3:3" ht="12" customHeight="1">
      <c r="C1002" s="765"/>
    </row>
    <row r="1003" spans="3:3" ht="12" customHeight="1">
      <c r="C1003" s="765"/>
    </row>
    <row r="1004" spans="3:3" ht="12" customHeight="1">
      <c r="C1004" s="765"/>
    </row>
    <row r="1005" spans="3:3" ht="12" customHeight="1">
      <c r="C1005" s="765"/>
    </row>
    <row r="1006" spans="3:3" ht="12" customHeight="1">
      <c r="C1006" s="765"/>
    </row>
    <row r="1007" spans="3:3" ht="12" customHeight="1">
      <c r="C1007" s="765"/>
    </row>
    <row r="1008" spans="3:3" ht="12" customHeight="1">
      <c r="C1008" s="765"/>
    </row>
    <row r="1009" spans="3:3" ht="12" customHeight="1">
      <c r="C1009" s="765"/>
    </row>
    <row r="1010" spans="3:3" ht="12" customHeight="1">
      <c r="C1010" s="765"/>
    </row>
    <row r="1011" spans="3:3" ht="12" customHeight="1">
      <c r="C1011" s="765"/>
    </row>
  </sheetData>
  <sheetProtection algorithmName="SHA-512" hashValue="ZygGt1qeSLV5jYtaaJbRDXNcBYuZ9aWGCWF2mbxS6Tv7/oQcTyeoIkGAJTTDeCETUSWbanSBmEaxCmA3OpBz2g==" saltValue="DPBP9uolSwVSa8z7XQUHNQ==" spinCount="100000" sheet="1" objects="1" scenarios="1"/>
  <pageMargins left="0.75" right="0.75" top="1" bottom="1"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sheetPr>
  <dimension ref="A1:AD974"/>
  <sheetViews>
    <sheetView showGridLines="0" workbookViewId="0">
      <selection activeCell="H12" sqref="H12"/>
    </sheetView>
  </sheetViews>
  <sheetFormatPr defaultColWidth="17.27734375" defaultRowHeight="15" customHeight="1"/>
  <cols>
    <col min="1" max="1" width="27.83203125" style="279" customWidth="1"/>
    <col min="2" max="2" width="7.71875" style="279" customWidth="1"/>
    <col min="3" max="4" width="12.71875" style="279" customWidth="1"/>
    <col min="5" max="5" width="11.27734375" style="279" customWidth="1"/>
    <col min="6" max="7" width="12.71875" style="279" customWidth="1"/>
    <col min="8" max="26" width="8.71875" style="279" customWidth="1"/>
    <col min="27" max="30" width="8.71875" customWidth="1"/>
  </cols>
  <sheetData>
    <row r="1" spans="1:26" ht="12" customHeight="1"/>
    <row r="2" spans="1:26" ht="12" customHeight="1">
      <c r="A2" s="817" t="s">
        <v>50</v>
      </c>
    </row>
    <row r="3" spans="1:26" ht="12" customHeight="1">
      <c r="G3" s="294"/>
    </row>
    <row r="4" spans="1:26" ht="12" customHeight="1">
      <c r="A4" s="818" t="s">
        <v>613</v>
      </c>
      <c r="B4" s="818" t="s">
        <v>179</v>
      </c>
      <c r="C4" s="819" t="s">
        <v>31</v>
      </c>
      <c r="D4" s="819" t="s">
        <v>21</v>
      </c>
      <c r="E4" s="819" t="s">
        <v>32</v>
      </c>
      <c r="F4" s="820" t="s">
        <v>33</v>
      </c>
      <c r="G4" s="821"/>
      <c r="H4" s="792" t="s">
        <v>909</v>
      </c>
      <c r="K4" s="1310"/>
      <c r="L4" s="1310"/>
      <c r="M4" s="1310"/>
      <c r="N4" s="1310"/>
    </row>
    <row r="5" spans="1:26" ht="12" customHeight="1">
      <c r="A5" s="336" t="str">
        <f>IF(A21="", "", A21)</f>
        <v>Food truck pickup</v>
      </c>
      <c r="B5" s="433"/>
      <c r="C5" s="337" t="str">
        <f>IF(SUM(C21:N21)&gt;0, SUM(C21:N21), "")</f>
        <v/>
      </c>
      <c r="D5" s="337" t="str">
        <f>IF(SUM(O21:Z21)&gt;0, SUM(O21:Z21), "")</f>
        <v/>
      </c>
      <c r="E5" s="337" t="str">
        <f>IF(D5="", "", D5*(1+B5))</f>
        <v/>
      </c>
      <c r="F5" s="822" t="str">
        <f>IF(E5="", "", E5*(1+B5))</f>
        <v/>
      </c>
      <c r="G5" s="823"/>
      <c r="H5" s="368" t="s">
        <v>614</v>
      </c>
      <c r="I5" s="1108"/>
      <c r="J5" s="1503" t="s">
        <v>721</v>
      </c>
      <c r="K5" s="1503"/>
      <c r="L5" s="1503"/>
      <c r="M5" s="1503"/>
      <c r="N5" s="1310"/>
    </row>
    <row r="6" spans="1:26" ht="12" customHeight="1">
      <c r="A6" s="336" t="str">
        <f t="shared" ref="A6:A16" si="0">IF(A22="", "", A22)</f>
        <v>Market Rental</v>
      </c>
      <c r="B6" s="433"/>
      <c r="C6" s="337" t="str">
        <f>IF(SUM(C22:N22)&gt;0, SUM(C22:N22), "")</f>
        <v/>
      </c>
      <c r="D6" s="337" t="str">
        <f>IF(SUM(O22:Z22)&gt;0, SUM(O22:Z22), "")</f>
        <v/>
      </c>
      <c r="E6" s="337" t="str">
        <f>IF(D6="", "", D6*(1+B6))</f>
        <v/>
      </c>
      <c r="F6" s="822" t="str">
        <f>IF(E6="", "", E6*(1+B6))</f>
        <v/>
      </c>
      <c r="G6" s="823"/>
      <c r="H6" s="824"/>
      <c r="I6" s="1108"/>
      <c r="J6" s="1503"/>
      <c r="K6" s="1503"/>
      <c r="L6" s="1503"/>
      <c r="M6" s="1503"/>
      <c r="N6" s="1310"/>
    </row>
    <row r="7" spans="1:26" ht="12" customHeight="1">
      <c r="A7" s="336" t="str">
        <f t="shared" si="0"/>
        <v>Ice</v>
      </c>
      <c r="B7" s="433"/>
      <c r="C7" s="337" t="str">
        <f>IF(SUM(C23:N23)&gt;0, SUM(C23:N23), "")</f>
        <v/>
      </c>
      <c r="D7" s="337" t="str">
        <f>IF(SUM(O23:Z23)&gt;0, SUM(O23:Z23), "")</f>
        <v/>
      </c>
      <c r="E7" s="337" t="str">
        <f>IF(D7="", "", D7*(1+B7))</f>
        <v/>
      </c>
      <c r="F7" s="822" t="str">
        <f>IF(E7="", "", E7*(1+B7))</f>
        <v/>
      </c>
      <c r="G7" s="823"/>
      <c r="H7" s="1108"/>
      <c r="I7" s="1108"/>
      <c r="J7" s="1503"/>
      <c r="K7" s="1503"/>
      <c r="L7" s="1503"/>
      <c r="M7" s="1503"/>
      <c r="N7" s="1310"/>
    </row>
    <row r="8" spans="1:26" ht="12" customHeight="1">
      <c r="A8" s="336" t="str">
        <f t="shared" si="0"/>
        <v>Delivery vehicle fuel estimate</v>
      </c>
      <c r="B8" s="433"/>
      <c r="C8" s="337" t="str">
        <f>IF(SUM(C24:N24)&gt;0, SUM(C24:N24), "")</f>
        <v/>
      </c>
      <c r="D8" s="337" t="str">
        <f>IF(SUM(O24:Z24)&gt;0, SUM(O24:Z24), "")</f>
        <v/>
      </c>
      <c r="E8" s="337" t="str">
        <f>IF(D8="", "", D8*(1+B8))</f>
        <v/>
      </c>
      <c r="F8" s="822" t="str">
        <f>IF(E8="", "", E8*(1+B8))</f>
        <v/>
      </c>
      <c r="G8" s="823"/>
      <c r="H8" s="1108"/>
      <c r="I8" s="1108"/>
      <c r="J8" s="1503"/>
      <c r="K8" s="1503"/>
      <c r="L8" s="1503"/>
      <c r="M8" s="1503"/>
      <c r="N8" s="1310"/>
    </row>
    <row r="9" spans="1:26" ht="12" customHeight="1">
      <c r="A9" s="336" t="str">
        <f t="shared" si="0"/>
        <v>Contract Labor</v>
      </c>
      <c r="B9" s="433"/>
      <c r="C9" s="337" t="str">
        <f t="shared" ref="C9:C16" si="1">IF(SUM(C25:N25)&gt;0, SUM(C25:N25), "")</f>
        <v/>
      </c>
      <c r="D9" s="337" t="str">
        <f t="shared" ref="D9:D16" si="2">IF(SUM(O25:Z25)&gt;0, SUM(O25:Z25), "")</f>
        <v/>
      </c>
      <c r="E9" s="337" t="str">
        <f t="shared" ref="E9:E16" si="3">IF(D9="", "", D9*(1+B9))</f>
        <v/>
      </c>
      <c r="F9" s="822" t="str">
        <f t="shared" ref="F9:F16" si="4">IF(E9="", "", E9*(1+B9))</f>
        <v/>
      </c>
      <c r="G9" s="823"/>
      <c r="H9" s="1108"/>
      <c r="I9" s="1108"/>
      <c r="J9" s="1503"/>
      <c r="K9" s="1503"/>
      <c r="L9" s="1503"/>
      <c r="M9" s="1503"/>
      <c r="N9" s="1310"/>
    </row>
    <row r="10" spans="1:26" ht="12" customHeight="1">
      <c r="A10" s="336" t="str">
        <f t="shared" si="0"/>
        <v>labels</v>
      </c>
      <c r="B10" s="433"/>
      <c r="C10" s="337" t="str">
        <f t="shared" si="1"/>
        <v/>
      </c>
      <c r="D10" s="337" t="str">
        <f t="shared" si="2"/>
        <v/>
      </c>
      <c r="E10" s="337" t="str">
        <f t="shared" si="3"/>
        <v/>
      </c>
      <c r="F10" s="822" t="str">
        <f t="shared" si="4"/>
        <v/>
      </c>
      <c r="G10" s="823"/>
      <c r="H10" s="1108"/>
      <c r="I10" s="1108"/>
      <c r="J10" s="1503"/>
      <c r="K10" s="1503"/>
      <c r="L10" s="1503"/>
      <c r="M10" s="1503"/>
      <c r="N10" s="1310"/>
    </row>
    <row r="11" spans="1:26" ht="12" customHeight="1">
      <c r="A11" s="336" t="str">
        <f t="shared" si="0"/>
        <v>Boxes-crates</v>
      </c>
      <c r="B11" s="433"/>
      <c r="C11" s="337" t="str">
        <f t="shared" si="1"/>
        <v/>
      </c>
      <c r="D11" s="337" t="str">
        <f t="shared" si="2"/>
        <v/>
      </c>
      <c r="E11" s="337" t="str">
        <f t="shared" si="3"/>
        <v/>
      </c>
      <c r="F11" s="822" t="str">
        <f t="shared" si="4"/>
        <v/>
      </c>
      <c r="G11" s="823"/>
      <c r="H11" s="1108"/>
      <c r="I11" s="1108"/>
      <c r="J11" s="1310"/>
      <c r="K11" s="1310"/>
      <c r="L11" s="1310"/>
      <c r="M11" s="1310"/>
      <c r="N11" s="1310"/>
    </row>
    <row r="12" spans="1:26" ht="12" customHeight="1">
      <c r="A12" s="336" t="str">
        <f t="shared" si="0"/>
        <v>Commissary Kitchen Storage</v>
      </c>
      <c r="B12" s="433"/>
      <c r="C12" s="337" t="str">
        <f t="shared" si="1"/>
        <v/>
      </c>
      <c r="D12" s="337" t="str">
        <f t="shared" si="2"/>
        <v/>
      </c>
      <c r="E12" s="337" t="str">
        <f t="shared" si="3"/>
        <v/>
      </c>
      <c r="F12" s="822" t="str">
        <f t="shared" si="4"/>
        <v/>
      </c>
      <c r="G12" s="823"/>
      <c r="J12" s="948" t="s">
        <v>910</v>
      </c>
    </row>
    <row r="13" spans="1:26" s="914" customFormat="1" ht="12" customHeight="1">
      <c r="A13" s="336" t="str">
        <f t="shared" si="0"/>
        <v/>
      </c>
      <c r="B13" s="433"/>
      <c r="C13" s="337" t="str">
        <f t="shared" si="1"/>
        <v/>
      </c>
      <c r="D13" s="337" t="str">
        <f t="shared" si="2"/>
        <v/>
      </c>
      <c r="E13" s="337" t="str">
        <f t="shared" si="3"/>
        <v/>
      </c>
      <c r="F13" s="822" t="str">
        <f t="shared" si="4"/>
        <v/>
      </c>
      <c r="G13" s="981"/>
      <c r="H13" s="913"/>
      <c r="I13" s="913"/>
      <c r="J13" s="913"/>
      <c r="K13" s="913"/>
      <c r="L13" s="913"/>
      <c r="M13" s="913"/>
      <c r="N13" s="913"/>
      <c r="O13" s="913"/>
      <c r="P13" s="913"/>
      <c r="Q13" s="913"/>
      <c r="R13" s="913"/>
      <c r="S13" s="913"/>
      <c r="T13" s="913"/>
      <c r="U13" s="913"/>
      <c r="V13" s="913"/>
      <c r="W13" s="913"/>
      <c r="X13" s="913"/>
      <c r="Y13" s="913"/>
      <c r="Z13" s="913"/>
    </row>
    <row r="14" spans="1:26" s="914" customFormat="1" ht="12" customHeight="1">
      <c r="A14" s="336" t="str">
        <f t="shared" si="0"/>
        <v/>
      </c>
      <c r="B14" s="433"/>
      <c r="C14" s="337" t="str">
        <f t="shared" si="1"/>
        <v/>
      </c>
      <c r="D14" s="337" t="str">
        <f t="shared" si="2"/>
        <v/>
      </c>
      <c r="E14" s="337" t="str">
        <f t="shared" si="3"/>
        <v/>
      </c>
      <c r="F14" s="822" t="str">
        <f t="shared" si="4"/>
        <v/>
      </c>
      <c r="G14" s="981"/>
      <c r="H14" s="913"/>
      <c r="I14" s="913"/>
      <c r="J14" s="913"/>
      <c r="K14" s="913"/>
      <c r="L14" s="913"/>
      <c r="M14" s="913"/>
      <c r="N14" s="913"/>
      <c r="O14" s="913"/>
      <c r="P14" s="913"/>
      <c r="Q14" s="913"/>
      <c r="R14" s="913"/>
      <c r="S14" s="913"/>
      <c r="T14" s="913"/>
      <c r="U14" s="913"/>
      <c r="V14" s="913"/>
      <c r="W14" s="913"/>
      <c r="X14" s="913"/>
      <c r="Y14" s="913"/>
      <c r="Z14" s="913"/>
    </row>
    <row r="15" spans="1:26" s="914" customFormat="1" ht="12" customHeight="1">
      <c r="A15" s="336" t="str">
        <f t="shared" si="0"/>
        <v/>
      </c>
      <c r="B15" s="433"/>
      <c r="C15" s="337" t="str">
        <f t="shared" si="1"/>
        <v/>
      </c>
      <c r="D15" s="337" t="str">
        <f t="shared" si="2"/>
        <v/>
      </c>
      <c r="E15" s="337" t="str">
        <f t="shared" si="3"/>
        <v/>
      </c>
      <c r="F15" s="822" t="str">
        <f t="shared" si="4"/>
        <v/>
      </c>
      <c r="G15" s="981"/>
      <c r="H15" s="913"/>
      <c r="I15" s="913"/>
      <c r="J15" s="913"/>
      <c r="K15" s="913"/>
      <c r="L15" s="913"/>
      <c r="M15" s="913"/>
      <c r="N15" s="913"/>
      <c r="O15" s="913"/>
      <c r="P15" s="913"/>
      <c r="Q15" s="913"/>
      <c r="R15" s="913"/>
      <c r="S15" s="913"/>
      <c r="T15" s="913"/>
      <c r="U15" s="913"/>
      <c r="V15" s="913"/>
      <c r="W15" s="913"/>
      <c r="X15" s="913"/>
      <c r="Y15" s="913"/>
      <c r="Z15" s="913"/>
    </row>
    <row r="16" spans="1:26" s="914" customFormat="1" ht="12" customHeight="1">
      <c r="A16" s="336" t="str">
        <f t="shared" si="0"/>
        <v/>
      </c>
      <c r="B16" s="433"/>
      <c r="C16" s="337" t="str">
        <f t="shared" si="1"/>
        <v/>
      </c>
      <c r="D16" s="337" t="str">
        <f t="shared" si="2"/>
        <v/>
      </c>
      <c r="E16" s="337" t="str">
        <f t="shared" si="3"/>
        <v/>
      </c>
      <c r="F16" s="822" t="str">
        <f t="shared" si="4"/>
        <v/>
      </c>
      <c r="G16" s="981"/>
      <c r="H16" s="913"/>
      <c r="I16" s="913"/>
      <c r="J16" s="913"/>
      <c r="K16" s="913"/>
      <c r="L16" s="913"/>
      <c r="M16" s="913"/>
      <c r="N16" s="913"/>
      <c r="O16" s="913"/>
      <c r="P16" s="913"/>
      <c r="Q16" s="913"/>
      <c r="R16" s="913"/>
      <c r="S16" s="913"/>
      <c r="T16" s="913"/>
      <c r="U16" s="913"/>
      <c r="V16" s="913"/>
      <c r="W16" s="913"/>
      <c r="X16" s="913"/>
      <c r="Y16" s="913"/>
      <c r="Z16" s="913"/>
    </row>
    <row r="17" spans="1:30" ht="12" customHeight="1">
      <c r="A17" s="439" t="s">
        <v>591</v>
      </c>
      <c r="B17" s="438"/>
      <c r="C17" s="770">
        <f>SUM(C5:C12)</f>
        <v>0</v>
      </c>
      <c r="D17" s="770">
        <f>SUM(D5:D12)</f>
        <v>0</v>
      </c>
      <c r="E17" s="770">
        <f>SUM(E5:E12)</f>
        <v>0</v>
      </c>
      <c r="F17" s="770">
        <f>SUM(F5:F12)</f>
        <v>0</v>
      </c>
      <c r="G17" s="823"/>
    </row>
    <row r="18" spans="1:30" ht="12" customHeight="1"/>
    <row r="19" spans="1:30" ht="12" customHeight="1">
      <c r="A19" s="792" t="s">
        <v>722</v>
      </c>
      <c r="B19" s="825"/>
      <c r="C19" s="826" t="s">
        <v>31</v>
      </c>
      <c r="D19" s="825"/>
      <c r="N19" s="827"/>
      <c r="O19" s="279" t="s">
        <v>21</v>
      </c>
      <c r="AA19" s="272"/>
      <c r="AB19" s="272"/>
      <c r="AC19" s="272"/>
      <c r="AD19" s="272"/>
    </row>
    <row r="20" spans="1:30" ht="12" customHeight="1">
      <c r="A20" s="828" t="s">
        <v>723</v>
      </c>
      <c r="B20" s="829" t="s">
        <v>724</v>
      </c>
      <c r="C20" s="1309">
        <f>'2 yr monthly cash flow'!B8</f>
        <v>6</v>
      </c>
      <c r="D20" s="831">
        <f>'2 yr monthly cash flow'!C8</f>
        <v>7</v>
      </c>
      <c r="E20" s="776">
        <f>'2 yr monthly cash flow'!D8</f>
        <v>8</v>
      </c>
      <c r="F20" s="776">
        <f>'2 yr monthly cash flow'!E8</f>
        <v>9</v>
      </c>
      <c r="G20" s="776">
        <f>'2 yr monthly cash flow'!F8</f>
        <v>10</v>
      </c>
      <c r="H20" s="776">
        <f>'2 yr monthly cash flow'!G8</f>
        <v>11</v>
      </c>
      <c r="I20" s="776">
        <f>'2 yr monthly cash flow'!H8</f>
        <v>12</v>
      </c>
      <c r="J20" s="776">
        <f>'2 yr monthly cash flow'!I8</f>
        <v>1</v>
      </c>
      <c r="K20" s="776">
        <f>'2 yr monthly cash flow'!J8</f>
        <v>2</v>
      </c>
      <c r="L20" s="776">
        <f>'2 yr monthly cash flow'!K8</f>
        <v>3</v>
      </c>
      <c r="M20" s="776">
        <f>'2 yr monthly cash flow'!L8</f>
        <v>4</v>
      </c>
      <c r="N20" s="832">
        <f>'2 yr monthly cash flow'!M8</f>
        <v>5</v>
      </c>
      <c r="O20" s="776">
        <f>'2 yr monthly cash flow'!N8</f>
        <v>6</v>
      </c>
      <c r="P20" s="776">
        <f>'2 yr monthly cash flow'!O8</f>
        <v>7</v>
      </c>
      <c r="Q20" s="776">
        <f>'2 yr monthly cash flow'!P8</f>
        <v>8</v>
      </c>
      <c r="R20" s="776">
        <f>'2 yr monthly cash flow'!Q8</f>
        <v>9</v>
      </c>
      <c r="S20" s="776">
        <f>'2 yr monthly cash flow'!R8</f>
        <v>10</v>
      </c>
      <c r="T20" s="776">
        <f>'2 yr monthly cash flow'!S8</f>
        <v>11</v>
      </c>
      <c r="U20" s="776">
        <f>'2 yr monthly cash flow'!T8</f>
        <v>12</v>
      </c>
      <c r="V20" s="776">
        <f>'2 yr monthly cash flow'!U8</f>
        <v>1</v>
      </c>
      <c r="W20" s="776">
        <f>'2 yr monthly cash flow'!V8</f>
        <v>2</v>
      </c>
      <c r="X20" s="776">
        <f>'2 yr monthly cash flow'!W8</f>
        <v>3</v>
      </c>
      <c r="Y20" s="776">
        <f>'2 yr monthly cash flow'!X8</f>
        <v>4</v>
      </c>
      <c r="Z20" s="776">
        <f>'2 yr monthly cash flow'!Y8</f>
        <v>5</v>
      </c>
      <c r="AA20" s="273"/>
      <c r="AB20" s="273"/>
      <c r="AC20" s="251"/>
      <c r="AD20" s="251"/>
    </row>
    <row r="21" spans="1:30" ht="12" customHeight="1">
      <c r="A21" s="1462" t="s">
        <v>619</v>
      </c>
      <c r="B21" s="1463"/>
      <c r="C21" s="1464"/>
      <c r="D21" s="1465"/>
      <c r="E21" s="1466">
        <f>'Produce &amp; Fish Sales'!E13*$H$6</f>
        <v>0</v>
      </c>
      <c r="F21" s="1466">
        <f>'Produce &amp; Fish Sales'!F13*$H$6</f>
        <v>0</v>
      </c>
      <c r="G21" s="1466">
        <f>'Produce &amp; Fish Sales'!G13*$H$6</f>
        <v>0</v>
      </c>
      <c r="H21" s="1466">
        <f>'Produce &amp; Fish Sales'!H13*$H$6</f>
        <v>0</v>
      </c>
      <c r="I21" s="1466">
        <f>'Produce &amp; Fish Sales'!I13*$H$6</f>
        <v>0</v>
      </c>
      <c r="J21" s="1466">
        <f>'Produce &amp; Fish Sales'!J13*$H$6</f>
        <v>0</v>
      </c>
      <c r="K21" s="1466">
        <f>'Produce &amp; Fish Sales'!K13*$H$6</f>
        <v>0</v>
      </c>
      <c r="L21" s="1466">
        <f>'Produce &amp; Fish Sales'!L13*$H$6</f>
        <v>0</v>
      </c>
      <c r="M21" s="1466">
        <f>'Produce &amp; Fish Sales'!M13*$H$6</f>
        <v>0</v>
      </c>
      <c r="N21" s="1467">
        <f>'Produce &amp; Fish Sales'!N13*$H$6</f>
        <v>0</v>
      </c>
      <c r="O21" s="1466">
        <f>'Produce &amp; Fish Sales'!C22*$H$6</f>
        <v>0</v>
      </c>
      <c r="P21" s="1466">
        <f>'Produce &amp; Fish Sales'!D22*$H$6</f>
        <v>0</v>
      </c>
      <c r="Q21" s="1466">
        <f>'Produce &amp; Fish Sales'!E22*$H$6</f>
        <v>0</v>
      </c>
      <c r="R21" s="1466">
        <f>'Produce &amp; Fish Sales'!F22*$H$6</f>
        <v>0</v>
      </c>
      <c r="S21" s="1466">
        <f>'Produce &amp; Fish Sales'!G22*$H$6</f>
        <v>0</v>
      </c>
      <c r="T21" s="1466">
        <f>'Produce &amp; Fish Sales'!H22*$H$6</f>
        <v>0</v>
      </c>
      <c r="U21" s="1466">
        <f>'Produce &amp; Fish Sales'!I22*$H$6</f>
        <v>0</v>
      </c>
      <c r="V21" s="1466">
        <f>'Produce &amp; Fish Sales'!J22*$H$6</f>
        <v>0</v>
      </c>
      <c r="W21" s="1466">
        <f>'Produce &amp; Fish Sales'!K22*$H$6</f>
        <v>0</v>
      </c>
      <c r="X21" s="1466">
        <f>'Produce &amp; Fish Sales'!L22*$H$6</f>
        <v>0</v>
      </c>
      <c r="Y21" s="1466">
        <f>'Produce &amp; Fish Sales'!M22*$H$6</f>
        <v>0</v>
      </c>
      <c r="Z21" s="1466">
        <f>'Produce &amp; Fish Sales'!N22*$H$6</f>
        <v>0</v>
      </c>
      <c r="AA21" s="15"/>
      <c r="AB21" s="15"/>
    </row>
    <row r="22" spans="1:30" ht="12" customHeight="1">
      <c r="A22" s="429" t="s">
        <v>620</v>
      </c>
      <c r="B22" s="833"/>
      <c r="C22" s="834"/>
      <c r="D22" s="835"/>
      <c r="E22" s="517"/>
      <c r="F22" s="517"/>
      <c r="G22" s="517"/>
      <c r="H22" s="517"/>
      <c r="I22" s="517"/>
      <c r="J22" s="517"/>
      <c r="K22" s="517"/>
      <c r="L22" s="517"/>
      <c r="M22" s="517"/>
      <c r="N22" s="837"/>
      <c r="O22" s="836"/>
      <c r="P22" s="517"/>
      <c r="Q22" s="517"/>
      <c r="R22" s="517"/>
      <c r="S22" s="517"/>
      <c r="T22" s="517"/>
      <c r="U22" s="517"/>
      <c r="V22" s="517"/>
      <c r="W22" s="517"/>
      <c r="X22" s="517"/>
      <c r="Y22" s="517"/>
      <c r="Z22" s="517"/>
      <c r="AA22" s="15"/>
      <c r="AB22" s="15"/>
    </row>
    <row r="23" spans="1:30" ht="12" customHeight="1">
      <c r="A23" s="429" t="s">
        <v>621</v>
      </c>
      <c r="B23" s="833"/>
      <c r="C23" s="834"/>
      <c r="D23" s="835"/>
      <c r="E23" s="836"/>
      <c r="F23" s="517"/>
      <c r="G23" s="517"/>
      <c r="H23" s="517"/>
      <c r="I23" s="517"/>
      <c r="J23" s="517"/>
      <c r="K23" s="517"/>
      <c r="L23" s="517"/>
      <c r="M23" s="517"/>
      <c r="N23" s="837"/>
      <c r="O23" s="836"/>
      <c r="P23" s="517"/>
      <c r="Q23" s="836"/>
      <c r="R23" s="517"/>
      <c r="S23" s="517"/>
      <c r="T23" s="517"/>
      <c r="U23" s="517"/>
      <c r="V23" s="517"/>
      <c r="W23" s="517"/>
      <c r="X23" s="517"/>
      <c r="Y23" s="517"/>
      <c r="Z23" s="517"/>
    </row>
    <row r="24" spans="1:30" ht="12" customHeight="1">
      <c r="A24" s="429" t="s">
        <v>622</v>
      </c>
      <c r="B24" s="833"/>
      <c r="C24" s="834"/>
      <c r="D24" s="835"/>
      <c r="E24" s="836"/>
      <c r="F24" s="836"/>
      <c r="G24" s="836"/>
      <c r="H24" s="836"/>
      <c r="I24" s="836"/>
      <c r="J24" s="836"/>
      <c r="K24" s="836"/>
      <c r="L24" s="836"/>
      <c r="M24" s="836"/>
      <c r="N24" s="837"/>
      <c r="O24" s="836"/>
      <c r="P24" s="836"/>
      <c r="Q24" s="836"/>
      <c r="R24" s="836"/>
      <c r="S24" s="836"/>
      <c r="T24" s="836"/>
      <c r="U24" s="836"/>
      <c r="V24" s="836"/>
      <c r="W24" s="836"/>
      <c r="X24" s="836"/>
      <c r="Y24" s="836"/>
      <c r="Z24" s="836"/>
    </row>
    <row r="25" spans="1:30" ht="12" customHeight="1">
      <c r="A25" s="429" t="s">
        <v>623</v>
      </c>
      <c r="B25" s="833"/>
      <c r="C25" s="834"/>
      <c r="D25" s="835"/>
      <c r="E25" s="517"/>
      <c r="F25" s="517"/>
      <c r="G25" s="517"/>
      <c r="H25" s="517"/>
      <c r="I25" s="517"/>
      <c r="J25" s="517"/>
      <c r="K25" s="517"/>
      <c r="L25" s="517"/>
      <c r="M25" s="517"/>
      <c r="N25" s="837"/>
      <c r="O25" s="836"/>
      <c r="P25" s="517"/>
      <c r="Q25" s="517"/>
      <c r="R25" s="517"/>
      <c r="S25" s="517"/>
      <c r="T25" s="517"/>
      <c r="U25" s="517"/>
      <c r="V25" s="517"/>
      <c r="W25" s="517"/>
      <c r="X25" s="517"/>
      <c r="Y25" s="517"/>
      <c r="Z25" s="517"/>
    </row>
    <row r="26" spans="1:30" ht="12" customHeight="1">
      <c r="A26" s="429" t="s">
        <v>624</v>
      </c>
      <c r="B26" s="833"/>
      <c r="C26" s="834"/>
      <c r="D26" s="835"/>
      <c r="E26" s="517"/>
      <c r="F26" s="517"/>
      <c r="G26" s="517"/>
      <c r="H26" s="517"/>
      <c r="I26" s="517"/>
      <c r="J26" s="517"/>
      <c r="K26" s="517"/>
      <c r="L26" s="517"/>
      <c r="M26" s="517"/>
      <c r="N26" s="837"/>
      <c r="O26" s="836"/>
      <c r="P26" s="517"/>
      <c r="Q26" s="517"/>
      <c r="R26" s="517"/>
      <c r="S26" s="517"/>
      <c r="T26" s="517"/>
      <c r="U26" s="517"/>
      <c r="V26" s="517"/>
      <c r="W26" s="517"/>
      <c r="X26" s="517"/>
      <c r="Y26" s="517"/>
      <c r="Z26" s="517"/>
    </row>
    <row r="27" spans="1:30" ht="12" customHeight="1">
      <c r="A27" s="429" t="s">
        <v>625</v>
      </c>
      <c r="B27" s="833"/>
      <c r="C27" s="834"/>
      <c r="D27" s="835"/>
      <c r="E27" s="517"/>
      <c r="F27" s="517"/>
      <c r="G27" s="517"/>
      <c r="H27" s="517"/>
      <c r="I27" s="517"/>
      <c r="J27" s="517"/>
      <c r="K27" s="517"/>
      <c r="L27" s="517"/>
      <c r="M27" s="517"/>
      <c r="N27" s="837"/>
      <c r="O27" s="836"/>
      <c r="P27" s="517"/>
      <c r="Q27" s="517"/>
      <c r="R27" s="517"/>
      <c r="S27" s="517"/>
      <c r="T27" s="517"/>
      <c r="U27" s="517"/>
      <c r="V27" s="517"/>
      <c r="W27" s="517"/>
      <c r="X27" s="517"/>
      <c r="Y27" s="517"/>
      <c r="Z27" s="517"/>
    </row>
    <row r="28" spans="1:30" ht="12" customHeight="1">
      <c r="A28" s="429" t="s">
        <v>626</v>
      </c>
      <c r="B28" s="833"/>
      <c r="C28" s="834"/>
      <c r="D28" s="835"/>
      <c r="E28" s="517"/>
      <c r="F28" s="517"/>
      <c r="G28" s="517"/>
      <c r="H28" s="517"/>
      <c r="I28" s="517"/>
      <c r="J28" s="517"/>
      <c r="K28" s="517"/>
      <c r="L28" s="517"/>
      <c r="M28" s="517"/>
      <c r="N28" s="837"/>
      <c r="O28" s="836"/>
      <c r="P28" s="517"/>
      <c r="Q28" s="517"/>
      <c r="R28" s="517"/>
      <c r="S28" s="517"/>
      <c r="T28" s="517"/>
      <c r="U28" s="517"/>
      <c r="V28" s="517"/>
      <c r="W28" s="517"/>
      <c r="X28" s="517"/>
      <c r="Y28" s="517"/>
      <c r="Z28" s="517"/>
    </row>
    <row r="29" spans="1:30" s="914" customFormat="1" ht="12" customHeight="1">
      <c r="A29" s="429"/>
      <c r="B29" s="833"/>
      <c r="C29" s="834"/>
      <c r="D29" s="835"/>
      <c r="E29" s="517"/>
      <c r="F29" s="517"/>
      <c r="G29" s="517"/>
      <c r="H29" s="517"/>
      <c r="I29" s="517"/>
      <c r="J29" s="517"/>
      <c r="K29" s="517"/>
      <c r="L29" s="517"/>
      <c r="M29" s="517"/>
      <c r="N29" s="837"/>
      <c r="O29" s="835"/>
      <c r="P29" s="517"/>
      <c r="Q29" s="517"/>
      <c r="R29" s="517"/>
      <c r="S29" s="517"/>
      <c r="T29" s="517"/>
      <c r="U29" s="517"/>
      <c r="V29" s="517"/>
      <c r="W29" s="517"/>
      <c r="X29" s="517"/>
      <c r="Y29" s="517"/>
      <c r="Z29" s="517"/>
    </row>
    <row r="30" spans="1:30" s="914" customFormat="1" ht="12" customHeight="1">
      <c r="A30" s="429"/>
      <c r="B30" s="833"/>
      <c r="C30" s="834"/>
      <c r="D30" s="835"/>
      <c r="E30" s="517"/>
      <c r="F30" s="517"/>
      <c r="G30" s="517"/>
      <c r="H30" s="517"/>
      <c r="I30" s="517"/>
      <c r="J30" s="517"/>
      <c r="K30" s="517"/>
      <c r="L30" s="517"/>
      <c r="M30" s="517"/>
      <c r="N30" s="837"/>
      <c r="O30" s="835"/>
      <c r="P30" s="517"/>
      <c r="Q30" s="517"/>
      <c r="R30" s="517"/>
      <c r="S30" s="517"/>
      <c r="T30" s="517"/>
      <c r="U30" s="517"/>
      <c r="V30" s="517"/>
      <c r="W30" s="517"/>
      <c r="X30" s="517"/>
      <c r="Y30" s="517"/>
      <c r="Z30" s="517"/>
    </row>
    <row r="31" spans="1:30" s="914" customFormat="1" ht="12" customHeight="1">
      <c r="A31" s="429"/>
      <c r="B31" s="833"/>
      <c r="C31" s="834"/>
      <c r="D31" s="835"/>
      <c r="E31" s="517"/>
      <c r="F31" s="517"/>
      <c r="G31" s="517"/>
      <c r="H31" s="517"/>
      <c r="I31" s="517"/>
      <c r="J31" s="517"/>
      <c r="K31" s="517"/>
      <c r="L31" s="517"/>
      <c r="M31" s="517"/>
      <c r="N31" s="837"/>
      <c r="O31" s="835"/>
      <c r="P31" s="517"/>
      <c r="Q31" s="517"/>
      <c r="R31" s="517"/>
      <c r="S31" s="517"/>
      <c r="T31" s="517"/>
      <c r="U31" s="517"/>
      <c r="V31" s="517"/>
      <c r="W31" s="517"/>
      <c r="X31" s="517"/>
      <c r="Y31" s="517"/>
      <c r="Z31" s="517"/>
    </row>
    <row r="32" spans="1:30" s="914" customFormat="1" ht="12" customHeight="1">
      <c r="A32" s="429"/>
      <c r="B32" s="833"/>
      <c r="C32" s="834"/>
      <c r="D32" s="835"/>
      <c r="E32" s="517"/>
      <c r="F32" s="517"/>
      <c r="G32" s="517"/>
      <c r="H32" s="517"/>
      <c r="I32" s="517"/>
      <c r="J32" s="517"/>
      <c r="K32" s="517"/>
      <c r="L32" s="517"/>
      <c r="M32" s="517"/>
      <c r="N32" s="837"/>
      <c r="O32" s="835"/>
      <c r="P32" s="517"/>
      <c r="Q32" s="517"/>
      <c r="R32" s="517"/>
      <c r="S32" s="517"/>
      <c r="T32" s="517"/>
      <c r="U32" s="517"/>
      <c r="V32" s="517"/>
      <c r="W32" s="517"/>
      <c r="X32" s="517"/>
      <c r="Y32" s="517"/>
      <c r="Z32" s="517"/>
    </row>
    <row r="33" spans="1:26" ht="12" customHeight="1">
      <c r="A33" s="439" t="s">
        <v>289</v>
      </c>
      <c r="B33" s="838"/>
      <c r="C33" s="839">
        <f t="shared" ref="C33:Z33" si="5">SUM(C21:C28)</f>
        <v>0</v>
      </c>
      <c r="D33" s="840">
        <f t="shared" si="5"/>
        <v>0</v>
      </c>
      <c r="E33" s="841">
        <f t="shared" si="5"/>
        <v>0</v>
      </c>
      <c r="F33" s="841">
        <f t="shared" si="5"/>
        <v>0</v>
      </c>
      <c r="G33" s="841">
        <f t="shared" si="5"/>
        <v>0</v>
      </c>
      <c r="H33" s="841">
        <f t="shared" si="5"/>
        <v>0</v>
      </c>
      <c r="I33" s="841">
        <f t="shared" si="5"/>
        <v>0</v>
      </c>
      <c r="J33" s="841">
        <f t="shared" si="5"/>
        <v>0</v>
      </c>
      <c r="K33" s="841">
        <f t="shared" si="5"/>
        <v>0</v>
      </c>
      <c r="L33" s="841">
        <f t="shared" si="5"/>
        <v>0</v>
      </c>
      <c r="M33" s="841">
        <f t="shared" si="5"/>
        <v>0</v>
      </c>
      <c r="N33" s="842">
        <f t="shared" si="5"/>
        <v>0</v>
      </c>
      <c r="O33" s="843">
        <f t="shared" si="5"/>
        <v>0</v>
      </c>
      <c r="P33" s="841">
        <f t="shared" si="5"/>
        <v>0</v>
      </c>
      <c r="Q33" s="841">
        <f t="shared" si="5"/>
        <v>0</v>
      </c>
      <c r="R33" s="841">
        <f t="shared" si="5"/>
        <v>0</v>
      </c>
      <c r="S33" s="841">
        <f t="shared" si="5"/>
        <v>0</v>
      </c>
      <c r="T33" s="841">
        <f t="shared" si="5"/>
        <v>0</v>
      </c>
      <c r="U33" s="841">
        <f t="shared" si="5"/>
        <v>0</v>
      </c>
      <c r="V33" s="841">
        <f t="shared" si="5"/>
        <v>0</v>
      </c>
      <c r="W33" s="841">
        <f t="shared" si="5"/>
        <v>0</v>
      </c>
      <c r="X33" s="841">
        <f t="shared" si="5"/>
        <v>0</v>
      </c>
      <c r="Y33" s="841">
        <f t="shared" si="5"/>
        <v>0</v>
      </c>
      <c r="Z33" s="841">
        <f t="shared" si="5"/>
        <v>0</v>
      </c>
    </row>
    <row r="34" spans="1:26" ht="12" customHeight="1"/>
    <row r="35" spans="1:26" ht="12" customHeight="1"/>
    <row r="36" spans="1:26" ht="12" customHeight="1"/>
    <row r="37" spans="1:26" ht="12" customHeight="1"/>
    <row r="38" spans="1:26" ht="12" customHeight="1"/>
    <row r="39" spans="1:26" ht="12" customHeight="1"/>
    <row r="40" spans="1:26" ht="12" customHeight="1"/>
    <row r="41" spans="1:26" ht="12" customHeight="1"/>
    <row r="42" spans="1:26" ht="12" customHeight="1"/>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sheetData>
  <sheetProtection algorithmName="SHA-512" hashValue="I7ZqY/HptPIYHpFPeMp4ajHkRIN69zkR4DmYjo/1DXzWeNn5VMvGS/bONKpWilEw0mQ2SDfBRIniW5c2bJKe8A==" saltValue="mfY/MVb8f9RuVCm6bBM/Iw==" spinCount="100000" sheet="1" objects="1" scenarios="1"/>
  <mergeCells count="1">
    <mergeCell ref="J5:M10"/>
  </mergeCells>
  <pageMargins left="0.75" right="0.75" top="1" bottom="1" header="0" footer="0"/>
  <pageSetup scale="7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sheetPr>
  <dimension ref="A1:AD995"/>
  <sheetViews>
    <sheetView showGridLines="0" workbookViewId="0">
      <selection activeCell="B5" sqref="B5:B8"/>
    </sheetView>
  </sheetViews>
  <sheetFormatPr defaultColWidth="17.27734375" defaultRowHeight="15" customHeight="1"/>
  <cols>
    <col min="1" max="1" width="24.6640625" style="279" customWidth="1"/>
    <col min="2" max="2" width="11.38671875" style="279" customWidth="1"/>
    <col min="3" max="3" width="8.71875" style="279" customWidth="1"/>
    <col min="4" max="4" width="9.109375" style="279" customWidth="1"/>
    <col min="5" max="9" width="12.71875" style="279" customWidth="1"/>
    <col min="10" max="26" width="8.71875" style="279" customWidth="1"/>
    <col min="27" max="30" width="8.71875" customWidth="1"/>
  </cols>
  <sheetData>
    <row r="1" spans="1:30" ht="12" customHeight="1"/>
    <row r="2" spans="1:30" ht="18.899999999999999" customHeight="1">
      <c r="A2" s="817" t="s">
        <v>627</v>
      </c>
    </row>
    <row r="3" spans="1:30" ht="12" customHeight="1">
      <c r="G3" s="294"/>
    </row>
    <row r="4" spans="1:30" ht="12" customHeight="1">
      <c r="A4" s="818" t="s">
        <v>613</v>
      </c>
      <c r="B4" s="819" t="s">
        <v>179</v>
      </c>
      <c r="C4" s="819" t="s">
        <v>31</v>
      </c>
      <c r="D4" s="819" t="s">
        <v>21</v>
      </c>
      <c r="E4" s="819" t="s">
        <v>32</v>
      </c>
      <c r="F4" s="820" t="s">
        <v>33</v>
      </c>
      <c r="G4" s="821"/>
      <c r="H4" s="792" t="s">
        <v>905</v>
      </c>
    </row>
    <row r="5" spans="1:30" ht="12" customHeight="1">
      <c r="A5" s="336" t="str">
        <f>IF(A17="", "", A17)</f>
        <v>Flyers/Brochures</v>
      </c>
      <c r="B5" s="433"/>
      <c r="C5" s="337" t="str">
        <f>IF(SUM(C17:N17)&gt;0, SUM(C17:N17), "")</f>
        <v/>
      </c>
      <c r="D5" s="337" t="str">
        <f>IF(SUM(O17:Y17)&gt;0, SUM(O17:Y17), "")</f>
        <v/>
      </c>
      <c r="E5" s="337" t="str">
        <f>IF(D5="", "", D5*(1+B5))</f>
        <v/>
      </c>
      <c r="F5" s="822" t="str">
        <f>IF(E5="", "", E5*(1+B5))</f>
        <v/>
      </c>
      <c r="G5" s="823"/>
      <c r="H5" s="948" t="s">
        <v>910</v>
      </c>
    </row>
    <row r="6" spans="1:30" ht="12" customHeight="1">
      <c r="A6" s="336" t="str">
        <f t="shared" ref="A6:A12" si="0">IF(A18="", "", A18)</f>
        <v>Website Services</v>
      </c>
      <c r="B6" s="433"/>
      <c r="C6" s="337" t="str">
        <f t="shared" ref="C6:C12" si="1">IF(SUM(C18:N18)&gt;0, SUM(C18:N18), "")</f>
        <v/>
      </c>
      <c r="D6" s="337" t="str">
        <f t="shared" ref="D6:D12" si="2">IF(SUM(O18:Y18)&gt;0, SUM(O18:Y18), "")</f>
        <v/>
      </c>
      <c r="E6" s="337" t="str">
        <f t="shared" ref="E6:E12" si="3">IF(D6="", "", D6*(1+B6))</f>
        <v/>
      </c>
      <c r="F6" s="822" t="str">
        <f t="shared" ref="F6:F12" si="4">IF(E6="", "", E6*(1+B6))</f>
        <v/>
      </c>
      <c r="G6" s="823"/>
      <c r="H6" s="948" t="s">
        <v>911</v>
      </c>
    </row>
    <row r="7" spans="1:30" ht="12" customHeight="1">
      <c r="A7" s="336" t="str">
        <f t="shared" si="0"/>
        <v>Business Cards</v>
      </c>
      <c r="B7" s="433"/>
      <c r="C7" s="337" t="str">
        <f t="shared" si="1"/>
        <v/>
      </c>
      <c r="D7" s="337" t="str">
        <f t="shared" si="2"/>
        <v/>
      </c>
      <c r="E7" s="337" t="str">
        <f t="shared" si="3"/>
        <v/>
      </c>
      <c r="F7" s="822" t="str">
        <f t="shared" si="4"/>
        <v/>
      </c>
      <c r="G7" s="823"/>
    </row>
    <row r="8" spans="1:30" ht="12" customHeight="1">
      <c r="A8" s="336" t="str">
        <f t="shared" si="0"/>
        <v>Social media promos</v>
      </c>
      <c r="B8" s="433"/>
      <c r="C8" s="337" t="str">
        <f t="shared" si="1"/>
        <v/>
      </c>
      <c r="D8" s="337" t="str">
        <f t="shared" si="2"/>
        <v/>
      </c>
      <c r="E8" s="337" t="str">
        <f t="shared" si="3"/>
        <v/>
      </c>
      <c r="F8" s="822" t="str">
        <f t="shared" si="4"/>
        <v/>
      </c>
      <c r="G8" s="823"/>
    </row>
    <row r="9" spans="1:30" ht="12" customHeight="1">
      <c r="A9" s="336" t="str">
        <f t="shared" si="0"/>
        <v>Flyers/Brochures</v>
      </c>
      <c r="B9" s="845"/>
      <c r="C9" s="337" t="str">
        <f t="shared" si="1"/>
        <v/>
      </c>
      <c r="D9" s="337" t="str">
        <f t="shared" si="2"/>
        <v/>
      </c>
      <c r="E9" s="337" t="str">
        <f t="shared" si="3"/>
        <v/>
      </c>
      <c r="F9" s="822" t="str">
        <f t="shared" si="4"/>
        <v/>
      </c>
      <c r="G9" s="823"/>
    </row>
    <row r="10" spans="1:30" ht="12" customHeight="1">
      <c r="A10" s="336" t="str">
        <f t="shared" si="0"/>
        <v/>
      </c>
      <c r="B10" s="845"/>
      <c r="C10" s="337" t="str">
        <f t="shared" si="1"/>
        <v/>
      </c>
      <c r="D10" s="337" t="str">
        <f t="shared" si="2"/>
        <v/>
      </c>
      <c r="E10" s="337" t="str">
        <f t="shared" si="3"/>
        <v/>
      </c>
      <c r="F10" s="822" t="str">
        <f t="shared" si="4"/>
        <v/>
      </c>
      <c r="G10" s="823"/>
    </row>
    <row r="11" spans="1:30" ht="12" customHeight="1">
      <c r="A11" s="336" t="str">
        <f t="shared" si="0"/>
        <v/>
      </c>
      <c r="B11" s="845"/>
      <c r="C11" s="337" t="str">
        <f t="shared" si="1"/>
        <v/>
      </c>
      <c r="D11" s="337" t="str">
        <f t="shared" si="2"/>
        <v/>
      </c>
      <c r="E11" s="337" t="str">
        <f t="shared" si="3"/>
        <v/>
      </c>
      <c r="F11" s="822" t="str">
        <f t="shared" si="4"/>
        <v/>
      </c>
      <c r="G11" s="823"/>
    </row>
    <row r="12" spans="1:30" ht="12" customHeight="1">
      <c r="A12" s="336" t="str">
        <f t="shared" si="0"/>
        <v/>
      </c>
      <c r="B12" s="845"/>
      <c r="C12" s="337" t="str">
        <f t="shared" si="1"/>
        <v/>
      </c>
      <c r="D12" s="337" t="str">
        <f t="shared" si="2"/>
        <v/>
      </c>
      <c r="E12" s="337" t="str">
        <f t="shared" si="3"/>
        <v/>
      </c>
      <c r="F12" s="822" t="str">
        <f t="shared" si="4"/>
        <v/>
      </c>
      <c r="G12" s="823"/>
    </row>
    <row r="13" spans="1:30" ht="12" customHeight="1">
      <c r="A13" s="439" t="s">
        <v>591</v>
      </c>
      <c r="B13" s="324"/>
      <c r="C13" s="770">
        <f>SUM(C5:C12)</f>
        <v>0</v>
      </c>
      <c r="D13" s="770">
        <f>SUM(D5:D12)</f>
        <v>0</v>
      </c>
      <c r="E13" s="770">
        <f>SUM(E5:E12)</f>
        <v>0</v>
      </c>
      <c r="F13" s="770">
        <f>SUM(F5:F12)</f>
        <v>0</v>
      </c>
      <c r="G13" s="823"/>
    </row>
    <row r="14" spans="1:30" ht="12" customHeight="1"/>
    <row r="15" spans="1:30" s="274" customFormat="1" ht="12" customHeight="1">
      <c r="A15" s="792" t="s">
        <v>722</v>
      </c>
      <c r="B15" s="987"/>
      <c r="C15" s="792" t="s">
        <v>31</v>
      </c>
      <c r="D15" s="792"/>
      <c r="E15" s="792"/>
      <c r="F15" s="792"/>
      <c r="G15" s="792"/>
      <c r="H15" s="792"/>
      <c r="I15" s="792"/>
      <c r="J15" s="792"/>
      <c r="K15" s="792"/>
      <c r="L15" s="792"/>
      <c r="M15" s="792"/>
      <c r="N15" s="992"/>
      <c r="O15" s="792" t="s">
        <v>21</v>
      </c>
      <c r="P15" s="792"/>
      <c r="Q15" s="792"/>
      <c r="R15" s="792"/>
      <c r="S15" s="792"/>
      <c r="T15" s="792"/>
      <c r="U15" s="792"/>
      <c r="V15" s="792"/>
      <c r="W15" s="792"/>
      <c r="X15" s="792"/>
      <c r="Y15" s="792"/>
      <c r="Z15" s="792"/>
      <c r="AA15" s="993"/>
      <c r="AB15" s="993"/>
      <c r="AC15" s="993"/>
      <c r="AD15" s="993"/>
    </row>
    <row r="16" spans="1:30" ht="12" customHeight="1">
      <c r="A16" s="828" t="s">
        <v>723</v>
      </c>
      <c r="B16" s="846" t="s">
        <v>724</v>
      </c>
      <c r="C16" s="1311">
        <f>'2 yr monthly cash flow'!B8</f>
        <v>6</v>
      </c>
      <c r="D16" s="637">
        <f>'2 yr monthly cash flow'!C8</f>
        <v>7</v>
      </c>
      <c r="E16" s="637">
        <f>'2 yr monthly cash flow'!D8</f>
        <v>8</v>
      </c>
      <c r="F16" s="637">
        <f>'2 yr monthly cash flow'!E8</f>
        <v>9</v>
      </c>
      <c r="G16" s="637">
        <f>'2 yr monthly cash flow'!F8</f>
        <v>10</v>
      </c>
      <c r="H16" s="637">
        <f>'2 yr monthly cash flow'!G8</f>
        <v>11</v>
      </c>
      <c r="I16" s="637">
        <f>'2 yr monthly cash flow'!H8</f>
        <v>12</v>
      </c>
      <c r="J16" s="637">
        <f>'2 yr monthly cash flow'!I8</f>
        <v>1</v>
      </c>
      <c r="K16" s="637">
        <f>'2 yr monthly cash flow'!J8</f>
        <v>2</v>
      </c>
      <c r="L16" s="637">
        <f>'2 yr monthly cash flow'!K8</f>
        <v>3</v>
      </c>
      <c r="M16" s="637">
        <f>'2 yr monthly cash flow'!L8</f>
        <v>4</v>
      </c>
      <c r="N16" s="775">
        <f>'2 yr monthly cash flow'!M8</f>
        <v>5</v>
      </c>
      <c r="O16" s="776">
        <f>'2 yr monthly cash flow'!N8</f>
        <v>6</v>
      </c>
      <c r="P16" s="637">
        <f>'2 yr monthly cash flow'!O8</f>
        <v>7</v>
      </c>
      <c r="Q16" s="637">
        <f>'2 yr monthly cash flow'!P8</f>
        <v>8</v>
      </c>
      <c r="R16" s="637">
        <f>'2 yr monthly cash flow'!Q8</f>
        <v>9</v>
      </c>
      <c r="S16" s="637">
        <f>'2 yr monthly cash flow'!R8</f>
        <v>10</v>
      </c>
      <c r="T16" s="637">
        <f>'2 yr monthly cash flow'!S8</f>
        <v>11</v>
      </c>
      <c r="U16" s="637">
        <f>'2 yr monthly cash flow'!T8</f>
        <v>12</v>
      </c>
      <c r="V16" s="637">
        <f>'2 yr monthly cash flow'!U8</f>
        <v>1</v>
      </c>
      <c r="W16" s="637">
        <f>'2 yr monthly cash flow'!V8</f>
        <v>2</v>
      </c>
      <c r="X16" s="637">
        <f>'2 yr monthly cash flow'!W8</f>
        <v>3</v>
      </c>
      <c r="Y16" s="637">
        <f>'2 yr monthly cash flow'!X8</f>
        <v>4</v>
      </c>
      <c r="Z16" s="637">
        <f>'2 yr monthly cash flow'!Y8</f>
        <v>5</v>
      </c>
      <c r="AA16" s="273"/>
      <c r="AB16" s="273"/>
      <c r="AC16" s="251"/>
      <c r="AD16" s="251"/>
    </row>
    <row r="17" spans="1:28" ht="12" customHeight="1">
      <c r="A17" s="847" t="s">
        <v>628</v>
      </c>
      <c r="B17" s="848"/>
      <c r="C17" s="836"/>
      <c r="D17" s="517"/>
      <c r="E17" s="517"/>
      <c r="F17" s="517"/>
      <c r="G17" s="517"/>
      <c r="H17" s="517"/>
      <c r="I17" s="517"/>
      <c r="J17" s="517"/>
      <c r="K17" s="517"/>
      <c r="L17" s="517"/>
      <c r="M17" s="517"/>
      <c r="N17" s="849"/>
      <c r="O17" s="836"/>
      <c r="P17" s="517"/>
      <c r="Q17" s="517"/>
      <c r="R17" s="517"/>
      <c r="S17" s="517"/>
      <c r="T17" s="517"/>
      <c r="U17" s="517"/>
      <c r="V17" s="517"/>
      <c r="W17" s="517"/>
      <c r="X17" s="517"/>
      <c r="Y17" s="517"/>
      <c r="Z17" s="849"/>
      <c r="AA17" s="15"/>
      <c r="AB17" s="15"/>
    </row>
    <row r="18" spans="1:28" ht="12" customHeight="1">
      <c r="A18" s="847" t="s">
        <v>629</v>
      </c>
      <c r="B18" s="848"/>
      <c r="C18" s="836"/>
      <c r="D18" s="517"/>
      <c r="E18" s="517"/>
      <c r="F18" s="517"/>
      <c r="G18" s="517"/>
      <c r="H18" s="517"/>
      <c r="I18" s="517"/>
      <c r="J18" s="517"/>
      <c r="K18" s="517"/>
      <c r="L18" s="517"/>
      <c r="M18" s="517"/>
      <c r="N18" s="849"/>
      <c r="O18" s="836"/>
      <c r="P18" s="517"/>
      <c r="Q18" s="517"/>
      <c r="R18" s="517"/>
      <c r="S18" s="517"/>
      <c r="T18" s="517"/>
      <c r="U18" s="517"/>
      <c r="V18" s="517"/>
      <c r="W18" s="517"/>
      <c r="X18" s="517"/>
      <c r="Y18" s="517"/>
      <c r="Z18" s="517"/>
      <c r="AA18" s="15"/>
      <c r="AB18" s="15"/>
    </row>
    <row r="19" spans="1:28" ht="12" customHeight="1">
      <c r="A19" s="429" t="s">
        <v>630</v>
      </c>
      <c r="B19" s="850"/>
      <c r="C19" s="836"/>
      <c r="D19" s="517"/>
      <c r="E19" s="517"/>
      <c r="F19" s="517"/>
      <c r="G19" s="517"/>
      <c r="H19" s="517"/>
      <c r="I19" s="517"/>
      <c r="J19" s="517"/>
      <c r="K19" s="517"/>
      <c r="L19" s="517"/>
      <c r="M19" s="517"/>
      <c r="N19" s="849"/>
      <c r="O19" s="836"/>
      <c r="P19" s="517"/>
      <c r="Q19" s="517"/>
      <c r="R19" s="517"/>
      <c r="S19" s="517"/>
      <c r="T19" s="517"/>
      <c r="U19" s="517"/>
      <c r="V19" s="517"/>
      <c r="W19" s="517"/>
      <c r="X19" s="517"/>
      <c r="Y19" s="517"/>
      <c r="Z19" s="517"/>
      <c r="AA19" s="15"/>
      <c r="AB19" s="15"/>
    </row>
    <row r="20" spans="1:28" ht="12" customHeight="1">
      <c r="A20" s="429" t="s">
        <v>631</v>
      </c>
      <c r="B20" s="850"/>
      <c r="C20" s="836"/>
      <c r="D20" s="517"/>
      <c r="E20" s="517"/>
      <c r="F20" s="517"/>
      <c r="G20" s="517"/>
      <c r="H20" s="517"/>
      <c r="I20" s="517"/>
      <c r="J20" s="517"/>
      <c r="K20" s="517"/>
      <c r="L20" s="517"/>
      <c r="M20" s="517"/>
      <c r="N20" s="849"/>
      <c r="O20" s="836"/>
      <c r="P20" s="517"/>
      <c r="Q20" s="517"/>
      <c r="R20" s="517"/>
      <c r="S20" s="517"/>
      <c r="T20" s="517"/>
      <c r="U20" s="517"/>
      <c r="V20" s="517"/>
      <c r="W20" s="517"/>
      <c r="X20" s="517"/>
      <c r="Y20" s="517"/>
      <c r="Z20" s="517"/>
    </row>
    <row r="21" spans="1:28" s="201" customFormat="1" ht="12" customHeight="1">
      <c r="A21" s="435" t="s">
        <v>628</v>
      </c>
      <c r="B21" s="850"/>
      <c r="C21" s="835"/>
      <c r="D21" s="517"/>
      <c r="E21" s="517"/>
      <c r="F21" s="517"/>
      <c r="G21" s="517"/>
      <c r="H21" s="517"/>
      <c r="I21" s="517"/>
      <c r="J21" s="517"/>
      <c r="K21" s="517"/>
      <c r="L21" s="517"/>
      <c r="M21" s="517"/>
      <c r="N21" s="849"/>
      <c r="O21" s="835"/>
      <c r="P21" s="517"/>
      <c r="Q21" s="517"/>
      <c r="R21" s="517"/>
      <c r="S21" s="517"/>
      <c r="T21" s="517"/>
      <c r="U21" s="517"/>
      <c r="V21" s="517"/>
      <c r="W21" s="517"/>
      <c r="X21" s="517"/>
      <c r="Y21" s="517"/>
      <c r="Z21" s="517"/>
    </row>
    <row r="22" spans="1:28" s="201" customFormat="1" ht="12" customHeight="1">
      <c r="A22" s="429"/>
      <c r="B22" s="850"/>
      <c r="C22" s="835"/>
      <c r="D22" s="517"/>
      <c r="E22" s="517"/>
      <c r="F22" s="517"/>
      <c r="G22" s="517"/>
      <c r="H22" s="517"/>
      <c r="I22" s="517"/>
      <c r="J22" s="517"/>
      <c r="K22" s="517"/>
      <c r="L22" s="517"/>
      <c r="M22" s="517"/>
      <c r="N22" s="849"/>
      <c r="O22" s="835"/>
      <c r="P22" s="517"/>
      <c r="Q22" s="517"/>
      <c r="R22" s="517"/>
      <c r="S22" s="517"/>
      <c r="T22" s="517"/>
      <c r="U22" s="517"/>
      <c r="V22" s="517"/>
      <c r="W22" s="517"/>
      <c r="X22" s="517"/>
      <c r="Y22" s="517"/>
      <c r="Z22" s="517"/>
    </row>
    <row r="23" spans="1:28" s="201" customFormat="1" ht="12" customHeight="1">
      <c r="A23" s="429"/>
      <c r="B23" s="850"/>
      <c r="C23" s="835"/>
      <c r="D23" s="517"/>
      <c r="E23" s="517"/>
      <c r="F23" s="517"/>
      <c r="G23" s="517"/>
      <c r="H23" s="517"/>
      <c r="I23" s="517"/>
      <c r="J23" s="517"/>
      <c r="K23" s="517"/>
      <c r="L23" s="517"/>
      <c r="M23" s="517"/>
      <c r="N23" s="849"/>
      <c r="O23" s="835"/>
      <c r="P23" s="517"/>
      <c r="Q23" s="517"/>
      <c r="R23" s="517"/>
      <c r="S23" s="517"/>
      <c r="T23" s="517"/>
      <c r="U23" s="517"/>
      <c r="V23" s="517"/>
      <c r="W23" s="517"/>
      <c r="X23" s="517"/>
      <c r="Y23" s="517"/>
      <c r="Z23" s="517"/>
    </row>
    <row r="24" spans="1:28" s="201" customFormat="1" ht="12" customHeight="1">
      <c r="A24" s="429"/>
      <c r="B24" s="850"/>
      <c r="C24" s="835"/>
      <c r="D24" s="517"/>
      <c r="E24" s="517"/>
      <c r="F24" s="517"/>
      <c r="G24" s="517"/>
      <c r="H24" s="517"/>
      <c r="I24" s="517"/>
      <c r="J24" s="517"/>
      <c r="K24" s="517"/>
      <c r="L24" s="517"/>
      <c r="M24" s="517"/>
      <c r="N24" s="849"/>
      <c r="O24" s="835"/>
      <c r="P24" s="517"/>
      <c r="Q24" s="517"/>
      <c r="R24" s="517"/>
      <c r="S24" s="517"/>
      <c r="T24" s="517"/>
      <c r="U24" s="517"/>
      <c r="V24" s="517"/>
      <c r="W24" s="517"/>
      <c r="X24" s="517"/>
      <c r="Y24" s="517"/>
      <c r="Z24" s="517"/>
    </row>
    <row r="25" spans="1:28" ht="12" hidden="1" customHeight="1">
      <c r="A25" s="851"/>
      <c r="B25" s="852"/>
      <c r="C25" s="853"/>
      <c r="D25" s="854"/>
      <c r="E25" s="854"/>
      <c r="F25" s="854"/>
      <c r="G25" s="854"/>
      <c r="H25" s="854"/>
      <c r="I25" s="854"/>
      <c r="J25" s="854"/>
      <c r="K25" s="854"/>
      <c r="L25" s="854"/>
      <c r="M25" s="854"/>
      <c r="N25" s="855"/>
      <c r="O25" s="853"/>
      <c r="P25" s="854"/>
      <c r="Q25" s="854"/>
      <c r="R25" s="854"/>
      <c r="S25" s="854"/>
      <c r="T25" s="854"/>
      <c r="U25" s="854"/>
      <c r="V25" s="854"/>
      <c r="W25" s="854"/>
      <c r="X25" s="854"/>
      <c r="Y25" s="854"/>
      <c r="Z25" s="854"/>
    </row>
    <row r="26" spans="1:28" ht="12" hidden="1" customHeight="1">
      <c r="A26" s="851"/>
      <c r="B26" s="852"/>
      <c r="C26" s="853"/>
      <c r="D26" s="854"/>
      <c r="E26" s="854"/>
      <c r="F26" s="854"/>
      <c r="G26" s="854"/>
      <c r="H26" s="854"/>
      <c r="I26" s="854"/>
      <c r="J26" s="854"/>
      <c r="K26" s="854"/>
      <c r="L26" s="854"/>
      <c r="M26" s="854"/>
      <c r="N26" s="855"/>
      <c r="O26" s="853"/>
      <c r="P26" s="854"/>
      <c r="Q26" s="854"/>
      <c r="R26" s="854"/>
      <c r="S26" s="854"/>
      <c r="T26" s="854"/>
      <c r="U26" s="854"/>
      <c r="V26" s="854"/>
      <c r="W26" s="854"/>
      <c r="X26" s="854"/>
      <c r="Y26" s="854"/>
      <c r="Z26" s="854"/>
    </row>
    <row r="27" spans="1:28" ht="12" hidden="1" customHeight="1">
      <c r="A27" s="851"/>
      <c r="B27" s="852"/>
      <c r="C27" s="853"/>
      <c r="D27" s="854">
        <f t="shared" ref="D27:Z27" si="5">C27</f>
        <v>0</v>
      </c>
      <c r="E27" s="854">
        <f t="shared" si="5"/>
        <v>0</v>
      </c>
      <c r="F27" s="854">
        <f t="shared" si="5"/>
        <v>0</v>
      </c>
      <c r="G27" s="854">
        <f t="shared" si="5"/>
        <v>0</v>
      </c>
      <c r="H27" s="854">
        <f t="shared" si="5"/>
        <v>0</v>
      </c>
      <c r="I27" s="854">
        <f t="shared" si="5"/>
        <v>0</v>
      </c>
      <c r="J27" s="854">
        <f t="shared" si="5"/>
        <v>0</v>
      </c>
      <c r="K27" s="854">
        <f t="shared" si="5"/>
        <v>0</v>
      </c>
      <c r="L27" s="854">
        <f t="shared" si="5"/>
        <v>0</v>
      </c>
      <c r="M27" s="854">
        <f t="shared" si="5"/>
        <v>0</v>
      </c>
      <c r="N27" s="855">
        <f t="shared" si="5"/>
        <v>0</v>
      </c>
      <c r="O27" s="853">
        <f t="shared" si="5"/>
        <v>0</v>
      </c>
      <c r="P27" s="854">
        <f t="shared" si="5"/>
        <v>0</v>
      </c>
      <c r="Q27" s="854">
        <f t="shared" si="5"/>
        <v>0</v>
      </c>
      <c r="R27" s="854">
        <f t="shared" si="5"/>
        <v>0</v>
      </c>
      <c r="S27" s="854">
        <f t="shared" si="5"/>
        <v>0</v>
      </c>
      <c r="T27" s="854">
        <f t="shared" si="5"/>
        <v>0</v>
      </c>
      <c r="U27" s="854">
        <f t="shared" si="5"/>
        <v>0</v>
      </c>
      <c r="V27" s="854">
        <f t="shared" si="5"/>
        <v>0</v>
      </c>
      <c r="W27" s="854">
        <f t="shared" si="5"/>
        <v>0</v>
      </c>
      <c r="X27" s="854">
        <f t="shared" si="5"/>
        <v>0</v>
      </c>
      <c r="Y27" s="854">
        <f t="shared" si="5"/>
        <v>0</v>
      </c>
      <c r="Z27" s="854">
        <f t="shared" si="5"/>
        <v>0</v>
      </c>
    </row>
    <row r="28" spans="1:28" ht="12" hidden="1" customHeight="1">
      <c r="A28" s="851"/>
      <c r="B28" s="852"/>
      <c r="C28" s="853"/>
      <c r="D28" s="854">
        <f t="shared" ref="D28:Z28" si="6">C28</f>
        <v>0</v>
      </c>
      <c r="E28" s="854">
        <f t="shared" si="6"/>
        <v>0</v>
      </c>
      <c r="F28" s="854">
        <f t="shared" si="6"/>
        <v>0</v>
      </c>
      <c r="G28" s="854">
        <f t="shared" si="6"/>
        <v>0</v>
      </c>
      <c r="H28" s="854">
        <f t="shared" si="6"/>
        <v>0</v>
      </c>
      <c r="I28" s="854">
        <f t="shared" si="6"/>
        <v>0</v>
      </c>
      <c r="J28" s="854">
        <f t="shared" si="6"/>
        <v>0</v>
      </c>
      <c r="K28" s="854">
        <f t="shared" si="6"/>
        <v>0</v>
      </c>
      <c r="L28" s="854">
        <f t="shared" si="6"/>
        <v>0</v>
      </c>
      <c r="M28" s="854">
        <f t="shared" si="6"/>
        <v>0</v>
      </c>
      <c r="N28" s="855">
        <f t="shared" si="6"/>
        <v>0</v>
      </c>
      <c r="O28" s="853">
        <f t="shared" si="6"/>
        <v>0</v>
      </c>
      <c r="P28" s="854">
        <f t="shared" si="6"/>
        <v>0</v>
      </c>
      <c r="Q28" s="854">
        <f t="shared" si="6"/>
        <v>0</v>
      </c>
      <c r="R28" s="854">
        <f t="shared" si="6"/>
        <v>0</v>
      </c>
      <c r="S28" s="854">
        <f t="shared" si="6"/>
        <v>0</v>
      </c>
      <c r="T28" s="854">
        <f t="shared" si="6"/>
        <v>0</v>
      </c>
      <c r="U28" s="854">
        <f t="shared" si="6"/>
        <v>0</v>
      </c>
      <c r="V28" s="854">
        <f t="shared" si="6"/>
        <v>0</v>
      </c>
      <c r="W28" s="854">
        <f t="shared" si="6"/>
        <v>0</v>
      </c>
      <c r="X28" s="854">
        <f t="shared" si="6"/>
        <v>0</v>
      </c>
      <c r="Y28" s="854">
        <f t="shared" si="6"/>
        <v>0</v>
      </c>
      <c r="Z28" s="854">
        <f t="shared" si="6"/>
        <v>0</v>
      </c>
    </row>
    <row r="29" spans="1:28" ht="12" hidden="1" customHeight="1">
      <c r="A29" s="851"/>
      <c r="B29" s="852"/>
      <c r="C29" s="853"/>
      <c r="D29" s="854"/>
      <c r="E29" s="854"/>
      <c r="F29" s="854"/>
      <c r="G29" s="854"/>
      <c r="H29" s="854">
        <f t="shared" ref="H29:Z29" si="7">G29</f>
        <v>0</v>
      </c>
      <c r="I29" s="854">
        <f t="shared" si="7"/>
        <v>0</v>
      </c>
      <c r="J29" s="854">
        <f t="shared" si="7"/>
        <v>0</v>
      </c>
      <c r="K29" s="854">
        <f t="shared" si="7"/>
        <v>0</v>
      </c>
      <c r="L29" s="854">
        <f t="shared" si="7"/>
        <v>0</v>
      </c>
      <c r="M29" s="854">
        <f t="shared" si="7"/>
        <v>0</v>
      </c>
      <c r="N29" s="855">
        <f t="shared" si="7"/>
        <v>0</v>
      </c>
      <c r="O29" s="853">
        <f t="shared" si="7"/>
        <v>0</v>
      </c>
      <c r="P29" s="854">
        <f t="shared" si="7"/>
        <v>0</v>
      </c>
      <c r="Q29" s="854">
        <f t="shared" si="7"/>
        <v>0</v>
      </c>
      <c r="R29" s="854">
        <f t="shared" si="7"/>
        <v>0</v>
      </c>
      <c r="S29" s="854">
        <f t="shared" si="7"/>
        <v>0</v>
      </c>
      <c r="T29" s="854">
        <f t="shared" si="7"/>
        <v>0</v>
      </c>
      <c r="U29" s="854">
        <f t="shared" si="7"/>
        <v>0</v>
      </c>
      <c r="V29" s="854">
        <f t="shared" si="7"/>
        <v>0</v>
      </c>
      <c r="W29" s="854">
        <f t="shared" si="7"/>
        <v>0</v>
      </c>
      <c r="X29" s="854">
        <f t="shared" si="7"/>
        <v>0</v>
      </c>
      <c r="Y29" s="854">
        <f t="shared" si="7"/>
        <v>0</v>
      </c>
      <c r="Z29" s="854">
        <f t="shared" si="7"/>
        <v>0</v>
      </c>
    </row>
    <row r="30" spans="1:28" ht="12" customHeight="1">
      <c r="A30" s="439" t="s">
        <v>289</v>
      </c>
      <c r="B30" s="856"/>
      <c r="C30" s="843">
        <f t="shared" ref="C30:Z30" si="8">SUM(C17:C29)</f>
        <v>0</v>
      </c>
      <c r="D30" s="841">
        <f t="shared" si="8"/>
        <v>0</v>
      </c>
      <c r="E30" s="841">
        <f t="shared" si="8"/>
        <v>0</v>
      </c>
      <c r="F30" s="841">
        <f t="shared" si="8"/>
        <v>0</v>
      </c>
      <c r="G30" s="841">
        <f t="shared" si="8"/>
        <v>0</v>
      </c>
      <c r="H30" s="841">
        <f t="shared" si="8"/>
        <v>0</v>
      </c>
      <c r="I30" s="841">
        <f t="shared" si="8"/>
        <v>0</v>
      </c>
      <c r="J30" s="841">
        <f t="shared" si="8"/>
        <v>0</v>
      </c>
      <c r="K30" s="841">
        <f t="shared" si="8"/>
        <v>0</v>
      </c>
      <c r="L30" s="841">
        <f t="shared" si="8"/>
        <v>0</v>
      </c>
      <c r="M30" s="841">
        <f t="shared" si="8"/>
        <v>0</v>
      </c>
      <c r="N30" s="857">
        <f t="shared" si="8"/>
        <v>0</v>
      </c>
      <c r="O30" s="994">
        <f t="shared" si="8"/>
        <v>0</v>
      </c>
      <c r="P30" s="841">
        <f t="shared" si="8"/>
        <v>0</v>
      </c>
      <c r="Q30" s="841">
        <f t="shared" si="8"/>
        <v>0</v>
      </c>
      <c r="R30" s="841">
        <f t="shared" si="8"/>
        <v>0</v>
      </c>
      <c r="S30" s="841">
        <f t="shared" si="8"/>
        <v>0</v>
      </c>
      <c r="T30" s="841">
        <f t="shared" si="8"/>
        <v>0</v>
      </c>
      <c r="U30" s="841">
        <f t="shared" si="8"/>
        <v>0</v>
      </c>
      <c r="V30" s="841">
        <f t="shared" si="8"/>
        <v>0</v>
      </c>
      <c r="W30" s="841">
        <f t="shared" si="8"/>
        <v>0</v>
      </c>
      <c r="X30" s="841">
        <f t="shared" si="8"/>
        <v>0</v>
      </c>
      <c r="Y30" s="841">
        <f t="shared" si="8"/>
        <v>0</v>
      </c>
      <c r="Z30" s="841">
        <f t="shared" si="8"/>
        <v>0</v>
      </c>
    </row>
    <row r="31" spans="1:28" ht="12" customHeight="1">
      <c r="N31" s="808"/>
    </row>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sheetData>
  <sheetProtection algorithmName="SHA-512" hashValue="+SAR/FKgdTxmSaa6lbj0iVSvD5gitm5CD3Apz/vXeWCswM2+oefasCDushqoG3I1RcHNgyGtI+5aYndSJlPdEA==" saltValue="4+71Bj1XRzSQnx+BlixG4A==" spinCount="100000" sheet="1" objects="1" scenarios="1"/>
  <pageMargins left="0.75" right="0.75" top="1" bottom="1" header="0" footer="0"/>
  <pageSetup scale="74"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sheetPr>
  <dimension ref="A1:Z1004"/>
  <sheetViews>
    <sheetView showGridLines="0" topLeftCell="A10" workbookViewId="0">
      <selection activeCell="A40" sqref="A40"/>
    </sheetView>
  </sheetViews>
  <sheetFormatPr defaultColWidth="17.27734375" defaultRowHeight="15" customHeight="1"/>
  <cols>
    <col min="1" max="1" width="19" style="279" customWidth="1"/>
    <col min="2" max="2" width="7.71875" style="279" customWidth="1"/>
    <col min="3" max="3" width="9.83203125" style="279" customWidth="1"/>
    <col min="4" max="4" width="10.5546875" style="279" customWidth="1"/>
    <col min="5" max="5" width="10.27734375" style="279" customWidth="1"/>
    <col min="6" max="6" width="9.83203125" style="279" customWidth="1"/>
    <col min="7" max="7" width="8.109375" style="279" customWidth="1"/>
    <col min="8" max="8" width="9.6640625" style="279" customWidth="1"/>
    <col min="9" max="9" width="10.21875" style="279" customWidth="1"/>
    <col min="10" max="10" width="12" style="279" customWidth="1"/>
    <col min="11" max="11" width="9.27734375" style="279" customWidth="1"/>
    <col min="12" max="12" width="9.71875" style="279" customWidth="1"/>
    <col min="13" max="13" width="10.6640625" style="279" customWidth="1"/>
    <col min="14" max="14" width="10.71875" style="279" customWidth="1"/>
    <col min="15" max="15" width="10.83203125" style="279" customWidth="1"/>
    <col min="16" max="16" width="10.38671875" style="279" customWidth="1"/>
    <col min="17" max="17" width="10.44140625" style="279" customWidth="1"/>
    <col min="18" max="18" width="11.0546875" style="279" customWidth="1"/>
    <col min="19" max="19" width="10.27734375" style="279" customWidth="1"/>
    <col min="20" max="20" width="9.5546875" style="279" customWidth="1"/>
    <col min="21" max="26" width="8.71875" style="279" customWidth="1"/>
  </cols>
  <sheetData>
    <row r="1" spans="1:26" ht="13.5" customHeight="1"/>
    <row r="2" spans="1:26" ht="21" customHeight="1">
      <c r="A2" s="817" t="s">
        <v>632</v>
      </c>
      <c r="B2" s="817"/>
      <c r="C2" s="825"/>
      <c r="D2" s="825"/>
    </row>
    <row r="3" spans="1:26" ht="12.9" customHeight="1">
      <c r="G3" s="294"/>
      <c r="H3" s="1252" t="s">
        <v>821</v>
      </c>
    </row>
    <row r="4" spans="1:26" ht="12" customHeight="1">
      <c r="A4" s="818" t="s">
        <v>633</v>
      </c>
      <c r="B4" s="819" t="s">
        <v>179</v>
      </c>
      <c r="C4" s="819" t="s">
        <v>31</v>
      </c>
      <c r="D4" s="819" t="s">
        <v>21</v>
      </c>
      <c r="E4" s="819" t="s">
        <v>32</v>
      </c>
      <c r="F4" s="819" t="s">
        <v>33</v>
      </c>
      <c r="G4" s="595"/>
      <c r="H4" s="1507" t="s">
        <v>823</v>
      </c>
      <c r="I4" s="1507"/>
      <c r="J4" s="1507"/>
      <c r="K4" s="1507"/>
      <c r="L4" s="1507"/>
      <c r="M4" s="1507"/>
      <c r="N4" s="1507"/>
      <c r="R4" s="858"/>
      <c r="T4" s="859"/>
    </row>
    <row r="5" spans="1:26" ht="12" customHeight="1">
      <c r="A5" s="336" t="str">
        <f>A28</f>
        <v>Farm Manager</v>
      </c>
      <c r="B5" s="433"/>
      <c r="C5" s="337">
        <f>IF(SUM(C28:N28)&gt;0, SUM(C28:N28), "")</f>
        <v>44095.999999999993</v>
      </c>
      <c r="D5" s="337">
        <f>IF(SUM(O28:Z28)&gt;0, SUM(O28:Z28), "")</f>
        <v>44095.999999999993</v>
      </c>
      <c r="E5" s="337">
        <f>IF(D5="", "", D5*(1+B5))</f>
        <v>44095.999999999993</v>
      </c>
      <c r="F5" s="337">
        <f>IF(E5="", "", E5*(1+B5))</f>
        <v>44095.999999999993</v>
      </c>
      <c r="G5" s="860"/>
      <c r="H5" s="1507"/>
      <c r="I5" s="1507"/>
      <c r="J5" s="1507"/>
      <c r="K5" s="1507"/>
      <c r="L5" s="1507"/>
      <c r="M5" s="1507"/>
      <c r="N5" s="1507"/>
      <c r="R5" s="858"/>
      <c r="S5" s="861"/>
      <c r="T5" s="859"/>
    </row>
    <row r="6" spans="1:26" ht="12" customHeight="1">
      <c r="A6" s="336" t="str">
        <f t="shared" ref="A6:A11" si="0">IF(A29="", "", A29)</f>
        <v>Assistant</v>
      </c>
      <c r="B6" s="433"/>
      <c r="C6" s="337" t="str">
        <f t="shared" ref="C6:C11" si="1">IF(SUM(C29:N29)&gt;0, SUM(C29:N29), "")</f>
        <v/>
      </c>
      <c r="D6" s="337" t="str">
        <f t="shared" ref="D6:D11" si="2">IF(SUM(O29:Z29)&gt;0, SUM(O29:Z29), "")</f>
        <v/>
      </c>
      <c r="E6" s="337" t="str">
        <f t="shared" ref="E6:E11" si="3">IF(D6="", "", D6*(1+B6))</f>
        <v/>
      </c>
      <c r="F6" s="337" t="str">
        <f t="shared" ref="F6:F11" si="4">IF(E6="", "", E6*(1+B6))</f>
        <v/>
      </c>
      <c r="G6" s="860"/>
      <c r="H6" s="1507"/>
      <c r="I6" s="1507"/>
      <c r="J6" s="1507"/>
      <c r="K6" s="1507"/>
      <c r="L6" s="1507"/>
      <c r="M6" s="1507"/>
      <c r="N6" s="1507"/>
      <c r="T6" s="859"/>
    </row>
    <row r="7" spans="1:26" ht="12" customHeight="1">
      <c r="A7" s="336" t="str">
        <f t="shared" si="0"/>
        <v>Assistant</v>
      </c>
      <c r="B7" s="433"/>
      <c r="C7" s="337" t="str">
        <f t="shared" si="1"/>
        <v/>
      </c>
      <c r="D7" s="337" t="str">
        <f t="shared" si="2"/>
        <v/>
      </c>
      <c r="E7" s="337" t="str">
        <f t="shared" si="3"/>
        <v/>
      </c>
      <c r="F7" s="337" t="str">
        <f t="shared" si="4"/>
        <v/>
      </c>
      <c r="G7" s="860"/>
      <c r="H7" s="1507"/>
      <c r="I7" s="1507"/>
      <c r="J7" s="1507"/>
      <c r="K7" s="1507"/>
      <c r="L7" s="1507"/>
      <c r="M7" s="1507"/>
      <c r="N7" s="1507"/>
    </row>
    <row r="8" spans="1:26" ht="12" customHeight="1">
      <c r="A8" s="336" t="str">
        <f t="shared" si="0"/>
        <v>Intern</v>
      </c>
      <c r="B8" s="433"/>
      <c r="C8" s="337" t="str">
        <f t="shared" si="1"/>
        <v/>
      </c>
      <c r="D8" s="337" t="str">
        <f t="shared" si="2"/>
        <v/>
      </c>
      <c r="E8" s="337" t="str">
        <f t="shared" si="3"/>
        <v/>
      </c>
      <c r="F8" s="337" t="str">
        <f t="shared" si="4"/>
        <v/>
      </c>
      <c r="G8" s="860"/>
      <c r="H8" s="1507"/>
      <c r="I8" s="1507"/>
      <c r="J8" s="1507"/>
      <c r="K8" s="1507"/>
      <c r="L8" s="1507"/>
      <c r="M8" s="1507"/>
      <c r="N8" s="1507"/>
    </row>
    <row r="9" spans="1:26" ht="12" customHeight="1">
      <c r="A9" s="336" t="str">
        <f t="shared" si="0"/>
        <v/>
      </c>
      <c r="B9" s="433"/>
      <c r="C9" s="337" t="str">
        <f t="shared" si="1"/>
        <v/>
      </c>
      <c r="D9" s="337" t="str">
        <f t="shared" si="2"/>
        <v/>
      </c>
      <c r="E9" s="337" t="str">
        <f t="shared" si="3"/>
        <v/>
      </c>
      <c r="F9" s="337" t="str">
        <f t="shared" si="4"/>
        <v/>
      </c>
      <c r="G9" s="860"/>
      <c r="H9" s="1507"/>
      <c r="I9" s="1507"/>
      <c r="J9" s="1507"/>
      <c r="K9" s="1507"/>
      <c r="L9" s="1507"/>
      <c r="M9" s="1507"/>
      <c r="N9" s="1507"/>
    </row>
    <row r="10" spans="1:26" s="914" customFormat="1" ht="12" customHeight="1">
      <c r="A10" s="336" t="str">
        <f t="shared" si="0"/>
        <v/>
      </c>
      <c r="B10" s="433"/>
      <c r="C10" s="337" t="str">
        <f t="shared" si="1"/>
        <v/>
      </c>
      <c r="D10" s="337" t="str">
        <f t="shared" si="2"/>
        <v/>
      </c>
      <c r="E10" s="337" t="str">
        <f t="shared" si="3"/>
        <v/>
      </c>
      <c r="F10" s="337" t="str">
        <f t="shared" si="4"/>
        <v/>
      </c>
      <c r="G10" s="860"/>
      <c r="H10" s="1139"/>
      <c r="I10" s="1139"/>
      <c r="J10" s="1139"/>
      <c r="K10" s="1139"/>
      <c r="L10" s="1139"/>
      <c r="M10" s="1139"/>
      <c r="N10" s="1139"/>
      <c r="O10" s="913"/>
      <c r="P10" s="913"/>
      <c r="Q10" s="913"/>
      <c r="R10" s="913"/>
      <c r="S10" s="913"/>
      <c r="T10" s="913"/>
      <c r="U10" s="913"/>
      <c r="V10" s="913"/>
      <c r="W10" s="913"/>
      <c r="X10" s="913"/>
      <c r="Y10" s="913"/>
      <c r="Z10" s="913"/>
    </row>
    <row r="11" spans="1:26" s="914" customFormat="1" ht="12" customHeight="1">
      <c r="A11" s="336" t="str">
        <f t="shared" si="0"/>
        <v/>
      </c>
      <c r="B11" s="433"/>
      <c r="C11" s="337" t="str">
        <f t="shared" si="1"/>
        <v/>
      </c>
      <c r="D11" s="337" t="str">
        <f t="shared" si="2"/>
        <v/>
      </c>
      <c r="E11" s="337" t="str">
        <f t="shared" si="3"/>
        <v/>
      </c>
      <c r="F11" s="337" t="str">
        <f t="shared" si="4"/>
        <v/>
      </c>
      <c r="G11" s="860"/>
      <c r="H11" s="1139"/>
      <c r="I11" s="1139"/>
      <c r="J11" s="1139"/>
      <c r="K11" s="1139"/>
      <c r="L11" s="1139"/>
      <c r="M11" s="1139"/>
      <c r="N11" s="1139"/>
      <c r="O11" s="913"/>
      <c r="P11" s="913"/>
      <c r="Q11" s="913"/>
      <c r="R11" s="913"/>
      <c r="S11" s="913"/>
      <c r="T11" s="913"/>
      <c r="U11" s="913"/>
      <c r="V11" s="913"/>
      <c r="W11" s="913"/>
      <c r="X11" s="913"/>
      <c r="Y11" s="913"/>
      <c r="Z11" s="913"/>
    </row>
    <row r="12" spans="1:26" ht="12" customHeight="1">
      <c r="A12" s="439" t="s">
        <v>634</v>
      </c>
      <c r="B12" s="367"/>
      <c r="C12" s="770">
        <f>SUM(C5:C11)</f>
        <v>44095.999999999993</v>
      </c>
      <c r="D12" s="770">
        <f>SUM(D5:D11)</f>
        <v>44095.999999999993</v>
      </c>
      <c r="E12" s="770">
        <f>SUM(E5:E11)</f>
        <v>44095.999999999993</v>
      </c>
      <c r="F12" s="770">
        <f>SUM(F5:F11)</f>
        <v>44095.999999999993</v>
      </c>
      <c r="G12" s="860"/>
      <c r="H12" s="1139"/>
      <c r="I12" s="1139"/>
      <c r="J12" s="1139"/>
      <c r="K12" s="1139"/>
      <c r="L12" s="1139"/>
      <c r="M12" s="1139"/>
      <c r="N12" s="1139"/>
    </row>
    <row r="13" spans="1:26" ht="12" customHeight="1">
      <c r="A13" s="336" t="str">
        <f>A37</f>
        <v>Employee Training</v>
      </c>
      <c r="B13" s="433"/>
      <c r="C13" s="337">
        <f>SUM(C41:N41)</f>
        <v>0</v>
      </c>
      <c r="D13" s="337">
        <f>SUM(O41:AA41)</f>
        <v>0</v>
      </c>
      <c r="E13" s="337">
        <f>D13*(1+B13)</f>
        <v>0</v>
      </c>
      <c r="F13" s="337">
        <f>E13*(1+B13)</f>
        <v>0</v>
      </c>
      <c r="G13" s="860"/>
      <c r="H13" s="1139"/>
      <c r="I13" s="1139"/>
      <c r="J13" s="1139"/>
      <c r="K13" s="1139"/>
      <c r="L13" s="1139"/>
      <c r="M13" s="1139"/>
      <c r="N13" s="1139"/>
    </row>
    <row r="14" spans="1:26" ht="12" customHeight="1">
      <c r="A14" s="439" t="s">
        <v>591</v>
      </c>
      <c r="B14" s="438"/>
      <c r="C14" s="770">
        <f>SUM(C12:C13)</f>
        <v>44095.999999999993</v>
      </c>
      <c r="D14" s="770">
        <f>SUM(D12:D13)</f>
        <v>44095.999999999993</v>
      </c>
      <c r="E14" s="770">
        <f>SUM(E12:E13)</f>
        <v>44095.999999999993</v>
      </c>
      <c r="F14" s="770">
        <f>SUM(F12:F13)</f>
        <v>44095.999999999993</v>
      </c>
      <c r="I14" s="1180"/>
      <c r="J14" s="1139"/>
      <c r="K14" s="1139"/>
      <c r="L14" s="1180"/>
      <c r="M14" s="1139"/>
      <c r="N14" s="1139"/>
      <c r="O14" s="1139"/>
    </row>
    <row r="15" spans="1:26" s="272" customFormat="1" ht="12" customHeight="1">
      <c r="A15" s="862"/>
      <c r="B15" s="863"/>
      <c r="C15" s="864"/>
      <c r="D15" s="864"/>
      <c r="E15" s="864"/>
      <c r="F15" s="864"/>
      <c r="G15" s="281"/>
      <c r="I15" s="865"/>
      <c r="J15" s="865"/>
      <c r="K15" s="865"/>
      <c r="L15" s="865"/>
      <c r="M15" s="865"/>
      <c r="N15" s="281"/>
      <c r="O15" s="281"/>
      <c r="P15" s="1186" t="s">
        <v>822</v>
      </c>
      <c r="Q15" s="1187"/>
      <c r="R15" s="1187"/>
      <c r="S15" s="1188"/>
      <c r="T15" s="281"/>
      <c r="U15" s="281"/>
      <c r="V15" s="281"/>
      <c r="W15" s="281"/>
      <c r="X15" s="281"/>
      <c r="Y15" s="281"/>
      <c r="Z15" s="281"/>
    </row>
    <row r="16" spans="1:26" ht="12" customHeight="1">
      <c r="A16" s="792" t="s">
        <v>725</v>
      </c>
      <c r="F16" s="1504" t="s">
        <v>856</v>
      </c>
      <c r="G16" s="1505"/>
      <c r="H16" s="1506"/>
      <c r="I16" s="1189" t="s">
        <v>824</v>
      </c>
      <c r="J16" s="1189"/>
      <c r="K16" s="1189"/>
      <c r="L16" s="1189"/>
      <c r="M16" s="1190"/>
      <c r="N16" s="1182"/>
      <c r="O16" s="866"/>
      <c r="P16" s="1508" t="s">
        <v>31</v>
      </c>
      <c r="Q16" s="1509"/>
      <c r="R16" s="1508" t="s">
        <v>21</v>
      </c>
      <c r="S16" s="1509"/>
    </row>
    <row r="17" spans="1:26" ht="12" customHeight="1">
      <c r="A17" s="867" t="s">
        <v>633</v>
      </c>
      <c r="B17" s="868" t="s">
        <v>635</v>
      </c>
      <c r="C17" s="868" t="s">
        <v>636</v>
      </c>
      <c r="D17" s="868" t="s">
        <v>637</v>
      </c>
      <c r="E17" s="868" t="s">
        <v>638</v>
      </c>
      <c r="F17" s="1191" t="s">
        <v>639</v>
      </c>
      <c r="G17" s="1191" t="s">
        <v>640</v>
      </c>
      <c r="H17" s="1142" t="s">
        <v>857</v>
      </c>
      <c r="I17" s="1142" t="s">
        <v>816</v>
      </c>
      <c r="J17" s="1142" t="s">
        <v>817</v>
      </c>
      <c r="K17" s="1143" t="s">
        <v>818</v>
      </c>
      <c r="L17" s="1143" t="s">
        <v>819</v>
      </c>
      <c r="M17" s="1183" t="s">
        <v>820</v>
      </c>
      <c r="N17" s="977" t="s">
        <v>640</v>
      </c>
      <c r="O17" s="1138" t="s">
        <v>641</v>
      </c>
      <c r="P17" s="979" t="s">
        <v>726</v>
      </c>
      <c r="Q17" s="979" t="s">
        <v>764</v>
      </c>
      <c r="R17" s="979" t="s">
        <v>726</v>
      </c>
      <c r="S17" s="979" t="s">
        <v>764</v>
      </c>
    </row>
    <row r="18" spans="1:26" ht="12" customHeight="1">
      <c r="A18" s="676" t="s">
        <v>642</v>
      </c>
      <c r="B18" s="430">
        <v>1</v>
      </c>
      <c r="C18" s="430">
        <v>40</v>
      </c>
      <c r="D18" s="430">
        <v>52</v>
      </c>
      <c r="E18" s="869">
        <v>20</v>
      </c>
      <c r="F18" s="354">
        <f>E18*C18*B18</f>
        <v>800</v>
      </c>
      <c r="G18" s="354">
        <f t="shared" ref="G18:G24" si="5">B18*C18*D18*E18/12</f>
        <v>3466.6666666666665</v>
      </c>
      <c r="H18" s="354">
        <f>B18*C18*D18*E18</f>
        <v>41600</v>
      </c>
      <c r="I18" s="433">
        <v>0.03</v>
      </c>
      <c r="J18" s="433">
        <v>0.03</v>
      </c>
      <c r="K18" s="1137"/>
      <c r="L18" s="1137"/>
      <c r="M18" s="1184"/>
      <c r="N18" s="1185">
        <f t="shared" ref="N18:N24" si="6">G18*(1+SUM(I18:M18))</f>
        <v>3674.6666666666665</v>
      </c>
      <c r="O18" s="1181">
        <f t="shared" ref="O18:O24" si="7">F18*D18*(1+SUM(I18:M18))</f>
        <v>44096</v>
      </c>
      <c r="P18" s="975">
        <v>6</v>
      </c>
      <c r="Q18" s="975"/>
      <c r="R18" s="975"/>
      <c r="S18" s="975"/>
    </row>
    <row r="19" spans="1:26" ht="12" customHeight="1">
      <c r="A19" s="429" t="s">
        <v>644</v>
      </c>
      <c r="B19" s="430"/>
      <c r="C19" s="430"/>
      <c r="D19" s="430"/>
      <c r="E19" s="869"/>
      <c r="F19" s="354">
        <f t="shared" ref="F19:F24" si="8">E19*C19*B19</f>
        <v>0</v>
      </c>
      <c r="G19" s="354">
        <f t="shared" si="5"/>
        <v>0</v>
      </c>
      <c r="H19" s="354">
        <f t="shared" ref="H19:H24" si="9">B19*C19*D19*E19</f>
        <v>0</v>
      </c>
      <c r="I19" s="433"/>
      <c r="J19" s="433"/>
      <c r="K19" s="1137"/>
      <c r="L19" s="1137"/>
      <c r="M19" s="1184"/>
      <c r="N19" s="1185">
        <f t="shared" si="6"/>
        <v>0</v>
      </c>
      <c r="O19" s="1181">
        <f t="shared" si="7"/>
        <v>0</v>
      </c>
      <c r="P19" s="975"/>
      <c r="Q19" s="975"/>
      <c r="R19" s="975"/>
      <c r="S19" s="975"/>
    </row>
    <row r="20" spans="1:26" ht="12" customHeight="1">
      <c r="A20" s="429" t="s">
        <v>644</v>
      </c>
      <c r="B20" s="430"/>
      <c r="C20" s="430"/>
      <c r="D20" s="430"/>
      <c r="E20" s="869"/>
      <c r="F20" s="354">
        <f t="shared" si="8"/>
        <v>0</v>
      </c>
      <c r="G20" s="354">
        <f t="shared" si="5"/>
        <v>0</v>
      </c>
      <c r="H20" s="354">
        <f t="shared" si="9"/>
        <v>0</v>
      </c>
      <c r="I20" s="433"/>
      <c r="J20" s="433"/>
      <c r="K20" s="1137"/>
      <c r="L20" s="1137"/>
      <c r="M20" s="1184"/>
      <c r="N20" s="1185">
        <f t="shared" si="6"/>
        <v>0</v>
      </c>
      <c r="O20" s="1181">
        <f t="shared" si="7"/>
        <v>0</v>
      </c>
      <c r="P20" s="975"/>
      <c r="Q20" s="975"/>
      <c r="R20" s="975"/>
      <c r="S20" s="975"/>
    </row>
    <row r="21" spans="1:26" ht="12" customHeight="1">
      <c r="A21" s="429" t="s">
        <v>645</v>
      </c>
      <c r="B21" s="430"/>
      <c r="C21" s="430"/>
      <c r="D21" s="430"/>
      <c r="E21" s="869"/>
      <c r="F21" s="354">
        <f t="shared" si="8"/>
        <v>0</v>
      </c>
      <c r="G21" s="354">
        <f t="shared" si="5"/>
        <v>0</v>
      </c>
      <c r="H21" s="354">
        <f t="shared" si="9"/>
        <v>0</v>
      </c>
      <c r="I21" s="433"/>
      <c r="J21" s="433"/>
      <c r="K21" s="1137"/>
      <c r="L21" s="1137"/>
      <c r="M21" s="1184"/>
      <c r="N21" s="1185">
        <f t="shared" si="6"/>
        <v>0</v>
      </c>
      <c r="O21" s="1181">
        <f t="shared" si="7"/>
        <v>0</v>
      </c>
      <c r="P21" s="975"/>
      <c r="Q21" s="975"/>
      <c r="R21" s="975"/>
      <c r="S21" s="975"/>
    </row>
    <row r="22" spans="1:26" s="914" customFormat="1" ht="12" customHeight="1">
      <c r="A22" s="435"/>
      <c r="B22" s="430"/>
      <c r="C22" s="430"/>
      <c r="D22" s="430"/>
      <c r="E22" s="869"/>
      <c r="F22" s="354">
        <f t="shared" si="8"/>
        <v>0</v>
      </c>
      <c r="G22" s="354">
        <f t="shared" si="5"/>
        <v>0</v>
      </c>
      <c r="H22" s="354">
        <f t="shared" si="9"/>
        <v>0</v>
      </c>
      <c r="I22" s="433"/>
      <c r="J22" s="433"/>
      <c r="K22" s="1137"/>
      <c r="L22" s="1137"/>
      <c r="M22" s="1184"/>
      <c r="N22" s="1185">
        <f t="shared" si="6"/>
        <v>0</v>
      </c>
      <c r="O22" s="1181">
        <f t="shared" si="7"/>
        <v>0</v>
      </c>
      <c r="P22" s="975"/>
      <c r="Q22" s="975"/>
      <c r="R22" s="975"/>
      <c r="S22" s="975"/>
      <c r="T22" s="913"/>
      <c r="U22" s="913"/>
      <c r="V22" s="913"/>
      <c r="W22" s="913"/>
      <c r="X22" s="913"/>
      <c r="Y22" s="913"/>
      <c r="Z22" s="913"/>
    </row>
    <row r="23" spans="1:26" s="914" customFormat="1" ht="12" customHeight="1">
      <c r="A23" s="435"/>
      <c r="B23" s="430"/>
      <c r="C23" s="430"/>
      <c r="D23" s="430"/>
      <c r="E23" s="869"/>
      <c r="F23" s="354">
        <f t="shared" si="8"/>
        <v>0</v>
      </c>
      <c r="G23" s="354">
        <f t="shared" si="5"/>
        <v>0</v>
      </c>
      <c r="H23" s="354">
        <f t="shared" si="9"/>
        <v>0</v>
      </c>
      <c r="I23" s="433"/>
      <c r="J23" s="433"/>
      <c r="K23" s="1137"/>
      <c r="L23" s="1137"/>
      <c r="M23" s="1184"/>
      <c r="N23" s="1185">
        <f t="shared" si="6"/>
        <v>0</v>
      </c>
      <c r="O23" s="1181">
        <f t="shared" si="7"/>
        <v>0</v>
      </c>
      <c r="P23" s="975"/>
      <c r="Q23" s="975"/>
      <c r="R23" s="975"/>
      <c r="S23" s="975"/>
      <c r="T23" s="913"/>
      <c r="U23" s="913"/>
      <c r="V23" s="913"/>
      <c r="W23" s="913"/>
      <c r="X23" s="913"/>
      <c r="Y23" s="913"/>
      <c r="Z23" s="913"/>
    </row>
    <row r="24" spans="1:26" s="914" customFormat="1" ht="12" customHeight="1">
      <c r="A24" s="435"/>
      <c r="B24" s="430"/>
      <c r="C24" s="430"/>
      <c r="D24" s="430"/>
      <c r="E24" s="869"/>
      <c r="F24" s="354">
        <f t="shared" si="8"/>
        <v>0</v>
      </c>
      <c r="G24" s="354">
        <f t="shared" si="5"/>
        <v>0</v>
      </c>
      <c r="H24" s="354">
        <f t="shared" si="9"/>
        <v>0</v>
      </c>
      <c r="I24" s="433"/>
      <c r="J24" s="433"/>
      <c r="K24" s="1137"/>
      <c r="L24" s="1137"/>
      <c r="M24" s="1184"/>
      <c r="N24" s="1185">
        <f t="shared" si="6"/>
        <v>0</v>
      </c>
      <c r="O24" s="1181">
        <f t="shared" si="7"/>
        <v>0</v>
      </c>
      <c r="P24" s="975"/>
      <c r="Q24" s="975"/>
      <c r="R24" s="975"/>
      <c r="S24" s="975"/>
      <c r="T24" s="913"/>
      <c r="U24" s="913"/>
      <c r="V24" s="913"/>
      <c r="W24" s="913"/>
      <c r="X24" s="913"/>
      <c r="Y24" s="913"/>
      <c r="Z24" s="913"/>
    </row>
    <row r="25" spans="1:26" ht="12" customHeight="1">
      <c r="A25" s="278"/>
      <c r="B25" s="278"/>
      <c r="C25" s="278"/>
      <c r="D25" s="278"/>
      <c r="E25" s="866"/>
      <c r="F25" s="284"/>
    </row>
    <row r="26" spans="1:26" ht="12" customHeight="1">
      <c r="A26" s="792" t="s">
        <v>722</v>
      </c>
      <c r="B26" s="793"/>
      <c r="C26" s="980" t="s">
        <v>31</v>
      </c>
      <c r="D26" s="870"/>
      <c r="E26" s="870"/>
      <c r="F26" s="870"/>
      <c r="G26" s="870"/>
      <c r="H26" s="870"/>
      <c r="I26" s="870"/>
      <c r="J26" s="870"/>
      <c r="K26" s="870"/>
      <c r="L26" s="870"/>
      <c r="M26" s="870"/>
      <c r="N26" s="962"/>
      <c r="O26" s="980" t="s">
        <v>21</v>
      </c>
      <c r="P26" s="638"/>
      <c r="Q26" s="638"/>
      <c r="R26" s="638"/>
      <c r="S26" s="638"/>
      <c r="T26" s="638"/>
      <c r="U26" s="638"/>
      <c r="V26" s="638"/>
      <c r="W26" s="638"/>
      <c r="X26" s="638"/>
      <c r="Y26" s="638"/>
      <c r="Z26" s="638"/>
    </row>
    <row r="27" spans="1:26" ht="12" customHeight="1">
      <c r="A27" s="871" t="s">
        <v>633</v>
      </c>
      <c r="B27" s="969" t="s">
        <v>724</v>
      </c>
      <c r="C27" s="1140">
        <f>'2 yr monthly cash flow'!B8</f>
        <v>6</v>
      </c>
      <c r="D27" s="872">
        <f>'2 yr monthly cash flow'!C8</f>
        <v>7</v>
      </c>
      <c r="E27" s="872">
        <f>'2 yr monthly cash flow'!D8</f>
        <v>8</v>
      </c>
      <c r="F27" s="872">
        <f>'2 yr monthly cash flow'!E8</f>
        <v>9</v>
      </c>
      <c r="G27" s="872">
        <f>'2 yr monthly cash flow'!F8</f>
        <v>10</v>
      </c>
      <c r="H27" s="872">
        <f>'2 yr monthly cash flow'!G8</f>
        <v>11</v>
      </c>
      <c r="I27" s="872">
        <f>'2 yr monthly cash flow'!H8</f>
        <v>12</v>
      </c>
      <c r="J27" s="872">
        <f>'2 yr monthly cash flow'!I8</f>
        <v>1</v>
      </c>
      <c r="K27" s="872">
        <f>'2 yr monthly cash flow'!J8</f>
        <v>2</v>
      </c>
      <c r="L27" s="872">
        <f>'2 yr monthly cash flow'!K8</f>
        <v>3</v>
      </c>
      <c r="M27" s="872">
        <f>'2 yr monthly cash flow'!L8</f>
        <v>4</v>
      </c>
      <c r="N27" s="963">
        <f>'2 yr monthly cash flow'!M8</f>
        <v>5</v>
      </c>
      <c r="O27" s="873">
        <f>'2 yr monthly cash flow'!N8</f>
        <v>6</v>
      </c>
      <c r="P27" s="874">
        <f>'2 yr monthly cash flow'!O8</f>
        <v>7</v>
      </c>
      <c r="Q27" s="874">
        <f>'2 yr monthly cash flow'!P8</f>
        <v>8</v>
      </c>
      <c r="R27" s="874">
        <f>'2 yr monthly cash flow'!Q8</f>
        <v>9</v>
      </c>
      <c r="S27" s="874">
        <f>'2 yr monthly cash flow'!R8</f>
        <v>10</v>
      </c>
      <c r="T27" s="874">
        <f>'2 yr monthly cash flow'!S8</f>
        <v>11</v>
      </c>
      <c r="U27" s="874">
        <f>'2 yr monthly cash flow'!T8</f>
        <v>12</v>
      </c>
      <c r="V27" s="874">
        <f>'2 yr monthly cash flow'!U8</f>
        <v>1</v>
      </c>
      <c r="W27" s="874">
        <f>'2 yr monthly cash flow'!V8</f>
        <v>2</v>
      </c>
      <c r="X27" s="874">
        <f>'2 yr monthly cash flow'!W8</f>
        <v>3</v>
      </c>
      <c r="Y27" s="874">
        <f>'2 yr monthly cash flow'!X8</f>
        <v>4</v>
      </c>
      <c r="Z27" s="875">
        <f>'2 yr monthly cash flow'!Y8</f>
        <v>5</v>
      </c>
    </row>
    <row r="28" spans="1:26" ht="12" customHeight="1">
      <c r="A28" s="876" t="str">
        <f>IF(A18="", "", A18)</f>
        <v>Farm Manager</v>
      </c>
      <c r="B28" s="970"/>
      <c r="C28" s="958">
        <f t="shared" ref="C28:C34" si="10">IF($P18=C$27, $N18, 0)</f>
        <v>3674.6666666666665</v>
      </c>
      <c r="D28" s="877">
        <f t="shared" ref="D28:N28" si="11">IF($Q18=D$27,"",IF($P18=D$27,$N18,IF(C28=$N18,$N18,0)))</f>
        <v>3674.6666666666665</v>
      </c>
      <c r="E28" s="877">
        <f t="shared" si="11"/>
        <v>3674.6666666666665</v>
      </c>
      <c r="F28" s="877">
        <f t="shared" si="11"/>
        <v>3674.6666666666665</v>
      </c>
      <c r="G28" s="877">
        <f t="shared" si="11"/>
        <v>3674.6666666666665</v>
      </c>
      <c r="H28" s="877">
        <f t="shared" si="11"/>
        <v>3674.6666666666665</v>
      </c>
      <c r="I28" s="877">
        <f t="shared" si="11"/>
        <v>3674.6666666666665</v>
      </c>
      <c r="J28" s="877">
        <f t="shared" si="11"/>
        <v>3674.6666666666665</v>
      </c>
      <c r="K28" s="877">
        <f t="shared" si="11"/>
        <v>3674.6666666666665</v>
      </c>
      <c r="L28" s="877">
        <f t="shared" si="11"/>
        <v>3674.6666666666665</v>
      </c>
      <c r="M28" s="877">
        <f t="shared" si="11"/>
        <v>3674.6666666666665</v>
      </c>
      <c r="N28" s="877">
        <f t="shared" si="11"/>
        <v>3674.6666666666665</v>
      </c>
      <c r="O28" s="877">
        <f t="shared" ref="O28:O34" si="12">IF($Q18=O$27,"",IF($R18=O$27,$N18,IF($N28=$N18,$N18,0)))</f>
        <v>3674.6666666666665</v>
      </c>
      <c r="P28" s="877">
        <f t="shared" ref="P28:Z28" si="13">IF($S18=P$27,"",IF(O28=$N18,$N18,IF($R18=P$27,$N18,IF($S18=P$27,"",0))))</f>
        <v>3674.6666666666665</v>
      </c>
      <c r="Q28" s="877">
        <f t="shared" si="13"/>
        <v>3674.6666666666665</v>
      </c>
      <c r="R28" s="877">
        <f t="shared" si="13"/>
        <v>3674.6666666666665</v>
      </c>
      <c r="S28" s="877">
        <f t="shared" si="13"/>
        <v>3674.6666666666665</v>
      </c>
      <c r="T28" s="877">
        <f t="shared" si="13"/>
        <v>3674.6666666666665</v>
      </c>
      <c r="U28" s="877">
        <f t="shared" si="13"/>
        <v>3674.6666666666665</v>
      </c>
      <c r="V28" s="877">
        <f t="shared" si="13"/>
        <v>3674.6666666666665</v>
      </c>
      <c r="W28" s="877">
        <f t="shared" si="13"/>
        <v>3674.6666666666665</v>
      </c>
      <c r="X28" s="877">
        <f t="shared" si="13"/>
        <v>3674.6666666666665</v>
      </c>
      <c r="Y28" s="877">
        <f t="shared" si="13"/>
        <v>3674.6666666666665</v>
      </c>
      <c r="Z28" s="877">
        <f t="shared" si="13"/>
        <v>3674.6666666666665</v>
      </c>
    </row>
    <row r="29" spans="1:26" ht="12" customHeight="1">
      <c r="A29" s="876" t="str">
        <f t="shared" ref="A29:A34" si="14">IF(A19="", "", A19)</f>
        <v>Assistant</v>
      </c>
      <c r="B29" s="970"/>
      <c r="C29" s="958">
        <f t="shared" si="10"/>
        <v>0</v>
      </c>
      <c r="D29" s="877">
        <f t="shared" ref="D29:N29" si="15">IF($Q19=D$27,"",IF($P19=D$27,$N19,IF(C29=$N19,$N19,0)))</f>
        <v>0</v>
      </c>
      <c r="E29" s="877">
        <f t="shared" si="15"/>
        <v>0</v>
      </c>
      <c r="F29" s="877">
        <f t="shared" si="15"/>
        <v>0</v>
      </c>
      <c r="G29" s="877">
        <f t="shared" si="15"/>
        <v>0</v>
      </c>
      <c r="H29" s="877">
        <f t="shared" si="15"/>
        <v>0</v>
      </c>
      <c r="I29" s="877">
        <f t="shared" si="15"/>
        <v>0</v>
      </c>
      <c r="J29" s="877">
        <f t="shared" si="15"/>
        <v>0</v>
      </c>
      <c r="K29" s="877">
        <f t="shared" si="15"/>
        <v>0</v>
      </c>
      <c r="L29" s="877">
        <f t="shared" si="15"/>
        <v>0</v>
      </c>
      <c r="M29" s="877">
        <f t="shared" si="15"/>
        <v>0</v>
      </c>
      <c r="N29" s="877">
        <f t="shared" si="15"/>
        <v>0</v>
      </c>
      <c r="O29" s="877">
        <f t="shared" si="12"/>
        <v>0</v>
      </c>
      <c r="P29" s="877">
        <f t="shared" ref="P29:Z29" si="16">IF($S19=P$27,"",IF(O29=$N19,$N19,IF($R19=P$27,$N19,IF($S19=P$27,"",0))))</f>
        <v>0</v>
      </c>
      <c r="Q29" s="877">
        <f t="shared" si="16"/>
        <v>0</v>
      </c>
      <c r="R29" s="877">
        <f t="shared" si="16"/>
        <v>0</v>
      </c>
      <c r="S29" s="877">
        <f t="shared" si="16"/>
        <v>0</v>
      </c>
      <c r="T29" s="877">
        <f t="shared" si="16"/>
        <v>0</v>
      </c>
      <c r="U29" s="877">
        <f t="shared" si="16"/>
        <v>0</v>
      </c>
      <c r="V29" s="877">
        <f t="shared" si="16"/>
        <v>0</v>
      </c>
      <c r="W29" s="877">
        <f t="shared" si="16"/>
        <v>0</v>
      </c>
      <c r="X29" s="877">
        <f t="shared" si="16"/>
        <v>0</v>
      </c>
      <c r="Y29" s="877">
        <f t="shared" si="16"/>
        <v>0</v>
      </c>
      <c r="Z29" s="877">
        <f t="shared" si="16"/>
        <v>0</v>
      </c>
    </row>
    <row r="30" spans="1:26" ht="12" customHeight="1">
      <c r="A30" s="876" t="str">
        <f t="shared" si="14"/>
        <v>Assistant</v>
      </c>
      <c r="B30" s="970"/>
      <c r="C30" s="958">
        <f t="shared" si="10"/>
        <v>0</v>
      </c>
      <c r="D30" s="877">
        <f t="shared" ref="D30:N30" si="17">IF($Q20=D$27,"",IF($P20=D$27,$N20,IF(C30=$N20,$N20,0)))</f>
        <v>0</v>
      </c>
      <c r="E30" s="877">
        <f t="shared" si="17"/>
        <v>0</v>
      </c>
      <c r="F30" s="877">
        <f t="shared" si="17"/>
        <v>0</v>
      </c>
      <c r="G30" s="877">
        <f t="shared" si="17"/>
        <v>0</v>
      </c>
      <c r="H30" s="877">
        <f t="shared" si="17"/>
        <v>0</v>
      </c>
      <c r="I30" s="877">
        <f t="shared" si="17"/>
        <v>0</v>
      </c>
      <c r="J30" s="877">
        <f t="shared" si="17"/>
        <v>0</v>
      </c>
      <c r="K30" s="877">
        <f t="shared" si="17"/>
        <v>0</v>
      </c>
      <c r="L30" s="877">
        <f t="shared" si="17"/>
        <v>0</v>
      </c>
      <c r="M30" s="877">
        <f t="shared" si="17"/>
        <v>0</v>
      </c>
      <c r="N30" s="877">
        <f t="shared" si="17"/>
        <v>0</v>
      </c>
      <c r="O30" s="877">
        <f t="shared" si="12"/>
        <v>0</v>
      </c>
      <c r="P30" s="877">
        <f t="shared" ref="P30:Z30" si="18">IF($S20=P$27,"",IF(O30=$N20,$N20,IF($R20=P$27,$N20,IF($S20=P$27,"",0))))</f>
        <v>0</v>
      </c>
      <c r="Q30" s="877">
        <f t="shared" si="18"/>
        <v>0</v>
      </c>
      <c r="R30" s="877">
        <f t="shared" si="18"/>
        <v>0</v>
      </c>
      <c r="S30" s="877">
        <f t="shared" si="18"/>
        <v>0</v>
      </c>
      <c r="T30" s="877">
        <f t="shared" si="18"/>
        <v>0</v>
      </c>
      <c r="U30" s="877">
        <f t="shared" si="18"/>
        <v>0</v>
      </c>
      <c r="V30" s="877">
        <f t="shared" si="18"/>
        <v>0</v>
      </c>
      <c r="W30" s="877">
        <f t="shared" si="18"/>
        <v>0</v>
      </c>
      <c r="X30" s="877">
        <f t="shared" si="18"/>
        <v>0</v>
      </c>
      <c r="Y30" s="877">
        <f t="shared" si="18"/>
        <v>0</v>
      </c>
      <c r="Z30" s="877">
        <f t="shared" si="18"/>
        <v>0</v>
      </c>
    </row>
    <row r="31" spans="1:26" ht="12" customHeight="1">
      <c r="A31" s="876" t="str">
        <f t="shared" si="14"/>
        <v>Intern</v>
      </c>
      <c r="B31" s="970"/>
      <c r="C31" s="958">
        <f t="shared" si="10"/>
        <v>0</v>
      </c>
      <c r="D31" s="877">
        <f t="shared" ref="D31:N31" si="19">IF($Q21=D$27,"",IF($P21=D$27,$N21,IF(C31=$N21,$N21,0)))</f>
        <v>0</v>
      </c>
      <c r="E31" s="877">
        <f t="shared" si="19"/>
        <v>0</v>
      </c>
      <c r="F31" s="877">
        <f t="shared" si="19"/>
        <v>0</v>
      </c>
      <c r="G31" s="877">
        <f t="shared" si="19"/>
        <v>0</v>
      </c>
      <c r="H31" s="877">
        <f t="shared" si="19"/>
        <v>0</v>
      </c>
      <c r="I31" s="877">
        <f t="shared" si="19"/>
        <v>0</v>
      </c>
      <c r="J31" s="877">
        <f t="shared" si="19"/>
        <v>0</v>
      </c>
      <c r="K31" s="877">
        <f t="shared" si="19"/>
        <v>0</v>
      </c>
      <c r="L31" s="877">
        <f t="shared" si="19"/>
        <v>0</v>
      </c>
      <c r="M31" s="877">
        <f t="shared" si="19"/>
        <v>0</v>
      </c>
      <c r="N31" s="877">
        <f t="shared" si="19"/>
        <v>0</v>
      </c>
      <c r="O31" s="877">
        <f t="shared" si="12"/>
        <v>0</v>
      </c>
      <c r="P31" s="877">
        <f t="shared" ref="P31:Z31" si="20">IF($S21=P$27,"",IF(O31=$N21,$N21,IF($R21=P$27,$N21,IF($S21=P$27,"",0))))</f>
        <v>0</v>
      </c>
      <c r="Q31" s="877">
        <f t="shared" si="20"/>
        <v>0</v>
      </c>
      <c r="R31" s="877">
        <f t="shared" si="20"/>
        <v>0</v>
      </c>
      <c r="S31" s="877">
        <f t="shared" si="20"/>
        <v>0</v>
      </c>
      <c r="T31" s="877">
        <f t="shared" si="20"/>
        <v>0</v>
      </c>
      <c r="U31" s="877">
        <f t="shared" si="20"/>
        <v>0</v>
      </c>
      <c r="V31" s="877">
        <f t="shared" si="20"/>
        <v>0</v>
      </c>
      <c r="W31" s="877">
        <f t="shared" si="20"/>
        <v>0</v>
      </c>
      <c r="X31" s="877">
        <f t="shared" si="20"/>
        <v>0</v>
      </c>
      <c r="Y31" s="877">
        <f t="shared" si="20"/>
        <v>0</v>
      </c>
      <c r="Z31" s="877">
        <f t="shared" si="20"/>
        <v>0</v>
      </c>
    </row>
    <row r="32" spans="1:26" ht="12" customHeight="1">
      <c r="A32" s="876" t="str">
        <f t="shared" si="14"/>
        <v/>
      </c>
      <c r="B32" s="970"/>
      <c r="C32" s="958">
        <f t="shared" si="10"/>
        <v>0</v>
      </c>
      <c r="D32" s="877">
        <f t="shared" ref="D32:N32" si="21">IF($Q22=D$27,"",IF($P22=D$27,$N22,IF(C32=$N22,$N22,0)))</f>
        <v>0</v>
      </c>
      <c r="E32" s="877">
        <f t="shared" si="21"/>
        <v>0</v>
      </c>
      <c r="F32" s="877">
        <f t="shared" si="21"/>
        <v>0</v>
      </c>
      <c r="G32" s="877">
        <f t="shared" si="21"/>
        <v>0</v>
      </c>
      <c r="H32" s="877">
        <f t="shared" si="21"/>
        <v>0</v>
      </c>
      <c r="I32" s="877">
        <f t="shared" si="21"/>
        <v>0</v>
      </c>
      <c r="J32" s="877">
        <f t="shared" si="21"/>
        <v>0</v>
      </c>
      <c r="K32" s="877">
        <f t="shared" si="21"/>
        <v>0</v>
      </c>
      <c r="L32" s="877">
        <f t="shared" si="21"/>
        <v>0</v>
      </c>
      <c r="M32" s="877">
        <f t="shared" si="21"/>
        <v>0</v>
      </c>
      <c r="N32" s="877">
        <f t="shared" si="21"/>
        <v>0</v>
      </c>
      <c r="O32" s="877">
        <f t="shared" si="12"/>
        <v>0</v>
      </c>
      <c r="P32" s="877">
        <f t="shared" ref="P32:Z32" si="22">IF($S22=P$27,"",IF(O32=$N22,$N22,IF($R22=P$27,$N22,IF($S22=P$27,"",0))))</f>
        <v>0</v>
      </c>
      <c r="Q32" s="877">
        <f t="shared" si="22"/>
        <v>0</v>
      </c>
      <c r="R32" s="877">
        <f t="shared" si="22"/>
        <v>0</v>
      </c>
      <c r="S32" s="877">
        <f t="shared" si="22"/>
        <v>0</v>
      </c>
      <c r="T32" s="877">
        <f t="shared" si="22"/>
        <v>0</v>
      </c>
      <c r="U32" s="877">
        <f t="shared" si="22"/>
        <v>0</v>
      </c>
      <c r="V32" s="877">
        <f t="shared" si="22"/>
        <v>0</v>
      </c>
      <c r="W32" s="877">
        <f t="shared" si="22"/>
        <v>0</v>
      </c>
      <c r="X32" s="877">
        <f t="shared" si="22"/>
        <v>0</v>
      </c>
      <c r="Y32" s="877">
        <f t="shared" si="22"/>
        <v>0</v>
      </c>
      <c r="Z32" s="877">
        <f t="shared" si="22"/>
        <v>0</v>
      </c>
    </row>
    <row r="33" spans="1:26" s="914" customFormat="1" ht="12" customHeight="1">
      <c r="A33" s="876" t="str">
        <f t="shared" si="14"/>
        <v/>
      </c>
      <c r="B33" s="970"/>
      <c r="C33" s="958">
        <f t="shared" si="10"/>
        <v>0</v>
      </c>
      <c r="D33" s="877">
        <f t="shared" ref="D33:N33" si="23">IF($Q23=D$27,"",IF($P23=D$27,$N23,IF(C33=$N23,$N23,0)))</f>
        <v>0</v>
      </c>
      <c r="E33" s="877">
        <f t="shared" si="23"/>
        <v>0</v>
      </c>
      <c r="F33" s="877">
        <f t="shared" si="23"/>
        <v>0</v>
      </c>
      <c r="G33" s="877">
        <f t="shared" si="23"/>
        <v>0</v>
      </c>
      <c r="H33" s="877">
        <f t="shared" si="23"/>
        <v>0</v>
      </c>
      <c r="I33" s="877">
        <f t="shared" si="23"/>
        <v>0</v>
      </c>
      <c r="J33" s="877">
        <f t="shared" si="23"/>
        <v>0</v>
      </c>
      <c r="K33" s="877">
        <f t="shared" si="23"/>
        <v>0</v>
      </c>
      <c r="L33" s="877">
        <f t="shared" si="23"/>
        <v>0</v>
      </c>
      <c r="M33" s="877">
        <f t="shared" si="23"/>
        <v>0</v>
      </c>
      <c r="N33" s="877">
        <f t="shared" si="23"/>
        <v>0</v>
      </c>
      <c r="O33" s="877">
        <f t="shared" si="12"/>
        <v>0</v>
      </c>
      <c r="P33" s="877">
        <f t="shared" ref="P33:Z33" si="24">IF($S23=P$27,"",IF(O33=$N23,$N23,IF($R23=P$27,$N23,IF($S23=P$27,"",0))))</f>
        <v>0</v>
      </c>
      <c r="Q33" s="877">
        <f t="shared" si="24"/>
        <v>0</v>
      </c>
      <c r="R33" s="877">
        <f t="shared" si="24"/>
        <v>0</v>
      </c>
      <c r="S33" s="877">
        <f t="shared" si="24"/>
        <v>0</v>
      </c>
      <c r="T33" s="877">
        <f t="shared" si="24"/>
        <v>0</v>
      </c>
      <c r="U33" s="877">
        <f t="shared" si="24"/>
        <v>0</v>
      </c>
      <c r="V33" s="877">
        <f t="shared" si="24"/>
        <v>0</v>
      </c>
      <c r="W33" s="877">
        <f t="shared" si="24"/>
        <v>0</v>
      </c>
      <c r="X33" s="877">
        <f t="shared" si="24"/>
        <v>0</v>
      </c>
      <c r="Y33" s="877">
        <f t="shared" si="24"/>
        <v>0</v>
      </c>
      <c r="Z33" s="877">
        <f t="shared" si="24"/>
        <v>0</v>
      </c>
    </row>
    <row r="34" spans="1:26" s="914" customFormat="1" ht="12" customHeight="1">
      <c r="A34" s="876" t="str">
        <f t="shared" si="14"/>
        <v/>
      </c>
      <c r="B34" s="970"/>
      <c r="C34" s="958">
        <f t="shared" si="10"/>
        <v>0</v>
      </c>
      <c r="D34" s="877">
        <f t="shared" ref="D34:N34" si="25">IF($Q24=D$27,"",IF($P24=D$27,$N24,IF(C34=$N24,$N24,0)))</f>
        <v>0</v>
      </c>
      <c r="E34" s="877">
        <f t="shared" si="25"/>
        <v>0</v>
      </c>
      <c r="F34" s="877">
        <f t="shared" si="25"/>
        <v>0</v>
      </c>
      <c r="G34" s="877">
        <f t="shared" si="25"/>
        <v>0</v>
      </c>
      <c r="H34" s="877">
        <f t="shared" si="25"/>
        <v>0</v>
      </c>
      <c r="I34" s="877">
        <f t="shared" si="25"/>
        <v>0</v>
      </c>
      <c r="J34" s="877">
        <f t="shared" si="25"/>
        <v>0</v>
      </c>
      <c r="K34" s="877">
        <f t="shared" si="25"/>
        <v>0</v>
      </c>
      <c r="L34" s="877">
        <f t="shared" si="25"/>
        <v>0</v>
      </c>
      <c r="M34" s="877">
        <f t="shared" si="25"/>
        <v>0</v>
      </c>
      <c r="N34" s="877">
        <f t="shared" si="25"/>
        <v>0</v>
      </c>
      <c r="O34" s="877">
        <f t="shared" si="12"/>
        <v>0</v>
      </c>
      <c r="P34" s="877">
        <f t="shared" ref="P34:Z34" si="26">IF($S24=P$27,"",IF(O34=$N24,$N24,IF($R24=P$27,$N24,IF($S24=P$27,"",0))))</f>
        <v>0</v>
      </c>
      <c r="Q34" s="877">
        <f t="shared" si="26"/>
        <v>0</v>
      </c>
      <c r="R34" s="877">
        <f t="shared" si="26"/>
        <v>0</v>
      </c>
      <c r="S34" s="877">
        <f t="shared" si="26"/>
        <v>0</v>
      </c>
      <c r="T34" s="877">
        <f t="shared" si="26"/>
        <v>0</v>
      </c>
      <c r="U34" s="877">
        <f t="shared" si="26"/>
        <v>0</v>
      </c>
      <c r="V34" s="877">
        <f t="shared" si="26"/>
        <v>0</v>
      </c>
      <c r="W34" s="877">
        <f t="shared" si="26"/>
        <v>0</v>
      </c>
      <c r="X34" s="877">
        <f t="shared" si="26"/>
        <v>0</v>
      </c>
      <c r="Y34" s="877">
        <f t="shared" si="26"/>
        <v>0</v>
      </c>
      <c r="Z34" s="877">
        <f t="shared" si="26"/>
        <v>0</v>
      </c>
    </row>
    <row r="35" spans="1:26" ht="12" customHeight="1">
      <c r="A35" s="878" t="s">
        <v>289</v>
      </c>
      <c r="B35" s="971"/>
      <c r="C35" s="959">
        <f>SUM(C28:C34)</f>
        <v>3674.6666666666665</v>
      </c>
      <c r="D35" s="879">
        <f t="shared" ref="D35:Z35" si="27">SUM(D28:D34)</f>
        <v>3674.6666666666665</v>
      </c>
      <c r="E35" s="879">
        <f t="shared" si="27"/>
        <v>3674.6666666666665</v>
      </c>
      <c r="F35" s="879">
        <f t="shared" si="27"/>
        <v>3674.6666666666665</v>
      </c>
      <c r="G35" s="879">
        <f t="shared" si="27"/>
        <v>3674.6666666666665</v>
      </c>
      <c r="H35" s="879">
        <f t="shared" si="27"/>
        <v>3674.6666666666665</v>
      </c>
      <c r="I35" s="879">
        <f t="shared" si="27"/>
        <v>3674.6666666666665</v>
      </c>
      <c r="J35" s="879">
        <f t="shared" si="27"/>
        <v>3674.6666666666665</v>
      </c>
      <c r="K35" s="879">
        <f t="shared" si="27"/>
        <v>3674.6666666666665</v>
      </c>
      <c r="L35" s="879">
        <f t="shared" si="27"/>
        <v>3674.6666666666665</v>
      </c>
      <c r="M35" s="879">
        <f t="shared" si="27"/>
        <v>3674.6666666666665</v>
      </c>
      <c r="N35" s="964">
        <f t="shared" si="27"/>
        <v>3674.6666666666665</v>
      </c>
      <c r="O35" s="959">
        <f t="shared" si="27"/>
        <v>3674.6666666666665</v>
      </c>
      <c r="P35" s="879">
        <f t="shared" si="27"/>
        <v>3674.6666666666665</v>
      </c>
      <c r="Q35" s="879">
        <f t="shared" si="27"/>
        <v>3674.6666666666665</v>
      </c>
      <c r="R35" s="879">
        <f t="shared" si="27"/>
        <v>3674.6666666666665</v>
      </c>
      <c r="S35" s="879">
        <f t="shared" si="27"/>
        <v>3674.6666666666665</v>
      </c>
      <c r="T35" s="879">
        <f t="shared" si="27"/>
        <v>3674.6666666666665</v>
      </c>
      <c r="U35" s="879">
        <f t="shared" si="27"/>
        <v>3674.6666666666665</v>
      </c>
      <c r="V35" s="879">
        <f t="shared" si="27"/>
        <v>3674.6666666666665</v>
      </c>
      <c r="W35" s="879">
        <f t="shared" si="27"/>
        <v>3674.6666666666665</v>
      </c>
      <c r="X35" s="879">
        <f t="shared" si="27"/>
        <v>3674.6666666666665</v>
      </c>
      <c r="Y35" s="879">
        <f t="shared" si="27"/>
        <v>3674.6666666666665</v>
      </c>
      <c r="Z35" s="879">
        <f t="shared" si="27"/>
        <v>3674.6666666666665</v>
      </c>
    </row>
    <row r="36" spans="1:26" ht="12" customHeight="1">
      <c r="A36" s="881"/>
      <c r="B36" s="793"/>
      <c r="C36" s="960"/>
      <c r="D36" s="882"/>
      <c r="E36" s="284"/>
      <c r="F36" s="284"/>
      <c r="G36" s="284"/>
      <c r="H36" s="284"/>
      <c r="I36" s="284"/>
      <c r="J36" s="284"/>
      <c r="K36" s="284"/>
      <c r="L36" s="284"/>
      <c r="M36" s="284"/>
      <c r="N36" s="965"/>
      <c r="O36" s="960"/>
      <c r="P36" s="284"/>
      <c r="Q36" s="284"/>
      <c r="R36" s="284"/>
      <c r="S36" s="284"/>
      <c r="T36" s="284"/>
      <c r="U36" s="284"/>
      <c r="V36" s="284"/>
      <c r="W36" s="284"/>
      <c r="X36" s="284"/>
      <c r="Y36" s="284"/>
    </row>
    <row r="37" spans="1:26" ht="12" customHeight="1">
      <c r="A37" s="883" t="s">
        <v>62</v>
      </c>
      <c r="B37" s="972"/>
      <c r="C37" s="1141">
        <f>'2 yr monthly cash flow'!B8</f>
        <v>6</v>
      </c>
      <c r="D37" s="885">
        <f>'2 yr monthly cash flow'!C8</f>
        <v>7</v>
      </c>
      <c r="E37" s="886">
        <f>'2 yr monthly cash flow'!D8</f>
        <v>8</v>
      </c>
      <c r="F37" s="886">
        <f>'2 yr monthly cash flow'!E8</f>
        <v>9</v>
      </c>
      <c r="G37" s="886">
        <f>'2 yr monthly cash flow'!F8</f>
        <v>10</v>
      </c>
      <c r="H37" s="886">
        <f>'2 yr monthly cash flow'!G8</f>
        <v>11</v>
      </c>
      <c r="I37" s="886">
        <f>'2 yr monthly cash flow'!H8</f>
        <v>12</v>
      </c>
      <c r="J37" s="886">
        <f>'2 yr monthly cash flow'!I8</f>
        <v>1</v>
      </c>
      <c r="K37" s="886">
        <f>'2 yr monthly cash flow'!J8</f>
        <v>2</v>
      </c>
      <c r="L37" s="886">
        <f>'2 yr monthly cash flow'!K8</f>
        <v>3</v>
      </c>
      <c r="M37" s="886">
        <f>'2 yr monthly cash flow'!L8</f>
        <v>4</v>
      </c>
      <c r="N37" s="966">
        <f>'2 yr monthly cash flow'!M8</f>
        <v>5</v>
      </c>
      <c r="O37" s="884">
        <f>'2 yr monthly cash flow'!N8</f>
        <v>6</v>
      </c>
      <c r="P37" s="886">
        <f>'2 yr monthly cash flow'!O8</f>
        <v>7</v>
      </c>
      <c r="Q37" s="886">
        <f>'2 yr monthly cash flow'!P8</f>
        <v>8</v>
      </c>
      <c r="R37" s="886">
        <f>'2 yr monthly cash flow'!Q8</f>
        <v>9</v>
      </c>
      <c r="S37" s="886">
        <f>'2 yr monthly cash flow'!R8</f>
        <v>10</v>
      </c>
      <c r="T37" s="886">
        <f>'2 yr monthly cash flow'!S8</f>
        <v>11</v>
      </c>
      <c r="U37" s="886">
        <f>'2 yr monthly cash flow'!T8</f>
        <v>12</v>
      </c>
      <c r="V37" s="886">
        <f>'2 yr monthly cash flow'!U8</f>
        <v>1</v>
      </c>
      <c r="W37" s="886">
        <f>'2 yr monthly cash flow'!V8</f>
        <v>2</v>
      </c>
      <c r="X37" s="886">
        <f>'2 yr monthly cash flow'!W8</f>
        <v>3</v>
      </c>
      <c r="Y37" s="886">
        <f>'2 yr monthly cash flow'!X8</f>
        <v>4</v>
      </c>
      <c r="Z37" s="887">
        <f>'2 yr monthly cash flow'!Y8</f>
        <v>5</v>
      </c>
    </row>
    <row r="38" spans="1:26" ht="12" customHeight="1">
      <c r="A38" s="888" t="s">
        <v>652</v>
      </c>
      <c r="B38" s="973"/>
      <c r="C38" s="961"/>
      <c r="D38" s="889"/>
      <c r="E38" s="889"/>
      <c r="F38" s="889"/>
      <c r="G38" s="889"/>
      <c r="H38" s="889"/>
      <c r="I38" s="889"/>
      <c r="J38" s="889"/>
      <c r="K38" s="889"/>
      <c r="L38" s="889"/>
      <c r="M38" s="889"/>
      <c r="N38" s="967"/>
      <c r="O38" s="961"/>
      <c r="P38" s="889"/>
      <c r="Q38" s="889"/>
      <c r="R38" s="889"/>
      <c r="S38" s="889"/>
      <c r="T38" s="889"/>
      <c r="U38" s="889"/>
      <c r="V38" s="889"/>
      <c r="W38" s="889"/>
      <c r="X38" s="889"/>
      <c r="Y38" s="889"/>
      <c r="Z38" s="889"/>
    </row>
    <row r="39" spans="1:26" ht="12" customHeight="1">
      <c r="A39" s="888" t="s">
        <v>653</v>
      </c>
      <c r="B39" s="973"/>
      <c r="C39" s="961"/>
      <c r="D39" s="889"/>
      <c r="E39" s="889"/>
      <c r="F39" s="889"/>
      <c r="G39" s="889"/>
      <c r="H39" s="889"/>
      <c r="I39" s="889"/>
      <c r="J39" s="889"/>
      <c r="K39" s="889"/>
      <c r="L39" s="889"/>
      <c r="M39" s="889"/>
      <c r="N39" s="967"/>
      <c r="O39" s="961"/>
      <c r="P39" s="889"/>
      <c r="Q39" s="889"/>
      <c r="R39" s="889"/>
      <c r="S39" s="889"/>
      <c r="T39" s="889"/>
      <c r="U39" s="889"/>
      <c r="V39" s="889"/>
      <c r="W39" s="889"/>
      <c r="X39" s="889"/>
      <c r="Y39" s="889"/>
      <c r="Z39" s="889"/>
    </row>
    <row r="40" spans="1:26" ht="12" customHeight="1">
      <c r="A40" s="888" t="s">
        <v>654</v>
      </c>
      <c r="B40" s="973"/>
      <c r="C40" s="961"/>
      <c r="D40" s="889"/>
      <c r="E40" s="889"/>
      <c r="F40" s="889"/>
      <c r="G40" s="889"/>
      <c r="H40" s="889"/>
      <c r="I40" s="889"/>
      <c r="J40" s="889"/>
      <c r="K40" s="889"/>
      <c r="L40" s="889"/>
      <c r="M40" s="889"/>
      <c r="N40" s="967"/>
      <c r="O40" s="961"/>
      <c r="P40" s="889"/>
      <c r="Q40" s="889"/>
      <c r="R40" s="889"/>
      <c r="S40" s="889"/>
      <c r="T40" s="889"/>
      <c r="U40" s="889"/>
      <c r="V40" s="889"/>
      <c r="W40" s="889"/>
      <c r="X40" s="889"/>
      <c r="Y40" s="889"/>
      <c r="Z40" s="889"/>
    </row>
    <row r="41" spans="1:26" ht="12" customHeight="1" thickBot="1">
      <c r="A41" s="890" t="s">
        <v>655</v>
      </c>
      <c r="B41" s="974"/>
      <c r="C41" s="880">
        <f t="shared" ref="C41:Z41" si="28">SUM(C38:C40)</f>
        <v>0</v>
      </c>
      <c r="D41" s="891">
        <f t="shared" si="28"/>
        <v>0</v>
      </c>
      <c r="E41" s="891">
        <f t="shared" si="28"/>
        <v>0</v>
      </c>
      <c r="F41" s="891">
        <f t="shared" si="28"/>
        <v>0</v>
      </c>
      <c r="G41" s="891">
        <f t="shared" si="28"/>
        <v>0</v>
      </c>
      <c r="H41" s="891">
        <f t="shared" si="28"/>
        <v>0</v>
      </c>
      <c r="I41" s="891">
        <f t="shared" si="28"/>
        <v>0</v>
      </c>
      <c r="J41" s="891">
        <f t="shared" si="28"/>
        <v>0</v>
      </c>
      <c r="K41" s="891">
        <f t="shared" si="28"/>
        <v>0</v>
      </c>
      <c r="L41" s="891">
        <f t="shared" si="28"/>
        <v>0</v>
      </c>
      <c r="M41" s="891">
        <f t="shared" si="28"/>
        <v>0</v>
      </c>
      <c r="N41" s="968">
        <f t="shared" si="28"/>
        <v>0</v>
      </c>
      <c r="O41" s="880">
        <f t="shared" si="28"/>
        <v>0</v>
      </c>
      <c r="P41" s="891">
        <f t="shared" si="28"/>
        <v>0</v>
      </c>
      <c r="Q41" s="891">
        <f t="shared" si="28"/>
        <v>0</v>
      </c>
      <c r="R41" s="891">
        <f t="shared" si="28"/>
        <v>0</v>
      </c>
      <c r="S41" s="891">
        <f t="shared" si="28"/>
        <v>0</v>
      </c>
      <c r="T41" s="891">
        <f t="shared" si="28"/>
        <v>0</v>
      </c>
      <c r="U41" s="891">
        <f t="shared" si="28"/>
        <v>0</v>
      </c>
      <c r="V41" s="891">
        <f t="shared" si="28"/>
        <v>0</v>
      </c>
      <c r="W41" s="891">
        <f t="shared" si="28"/>
        <v>0</v>
      </c>
      <c r="X41" s="891">
        <f t="shared" si="28"/>
        <v>0</v>
      </c>
      <c r="Y41" s="891">
        <f t="shared" si="28"/>
        <v>0</v>
      </c>
      <c r="Z41" s="892">
        <f t="shared" si="28"/>
        <v>0</v>
      </c>
    </row>
    <row r="42" spans="1:26" ht="12" customHeight="1" thickTop="1">
      <c r="A42" s="278"/>
      <c r="B42" s="284"/>
      <c r="C42" s="284"/>
      <c r="D42" s="284"/>
      <c r="E42" s="284"/>
      <c r="F42" s="284"/>
      <c r="G42" s="284"/>
      <c r="H42" s="284"/>
      <c r="I42" s="284"/>
      <c r="J42" s="284"/>
      <c r="K42" s="284"/>
      <c r="L42" s="284"/>
      <c r="M42" s="284"/>
      <c r="N42" s="284"/>
      <c r="O42" s="284"/>
      <c r="P42" s="284"/>
      <c r="Q42" s="284"/>
      <c r="R42" s="284"/>
      <c r="S42" s="284"/>
      <c r="T42" s="284"/>
      <c r="U42" s="284"/>
      <c r="V42" s="284"/>
      <c r="W42" s="284"/>
    </row>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sheetData>
  <sheetProtection algorithmName="SHA-512" hashValue="8XVGR/hcKXP5a98Bm7ZxEM2jQWuyavGceAaFTnRc7pB4jabQUd/Ta2CRWXa5pU9O13r9AUoBHZTV8JS9tpcgjQ==" saltValue="D7BCenxBchFaVj3mcqM51Q==" spinCount="100000" sheet="1" objects="1" scenarios="1"/>
  <mergeCells count="4">
    <mergeCell ref="F16:H16"/>
    <mergeCell ref="H4:N9"/>
    <mergeCell ref="P16:Q16"/>
    <mergeCell ref="R16:S16"/>
  </mergeCells>
  <pageMargins left="0.75" right="0.75" top="1" bottom="1" header="0" footer="0"/>
  <pageSetup scale="57"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sheetPr>
  <dimension ref="A1:AD998"/>
  <sheetViews>
    <sheetView showGridLines="0" topLeftCell="A7" workbookViewId="0">
      <selection activeCell="A27" sqref="A27"/>
    </sheetView>
  </sheetViews>
  <sheetFormatPr defaultColWidth="17.27734375" defaultRowHeight="15" customHeight="1"/>
  <cols>
    <col min="1" max="1" width="35.5546875" style="279" customWidth="1"/>
    <col min="2" max="2" width="8.66406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8" ht="12" customHeight="1">
      <c r="B1" s="524"/>
    </row>
    <row r="2" spans="1:8" ht="17.7">
      <c r="A2" s="817" t="s">
        <v>643</v>
      </c>
      <c r="B2" s="524"/>
    </row>
    <row r="3" spans="1:8" ht="12" customHeight="1">
      <c r="B3" s="524"/>
      <c r="G3" s="294"/>
    </row>
    <row r="4" spans="1:8" ht="12" customHeight="1">
      <c r="A4" s="818" t="s">
        <v>613</v>
      </c>
      <c r="B4" s="819" t="s">
        <v>179</v>
      </c>
      <c r="C4" s="819" t="s">
        <v>31</v>
      </c>
      <c r="D4" s="819" t="s">
        <v>21</v>
      </c>
      <c r="E4" s="819" t="s">
        <v>32</v>
      </c>
      <c r="F4" s="820" t="s">
        <v>33</v>
      </c>
      <c r="G4" s="821"/>
      <c r="H4" s="792" t="s">
        <v>905</v>
      </c>
    </row>
    <row r="5" spans="1:8" ht="12" customHeight="1">
      <c r="A5" s="336" t="str">
        <f>IF(A25="", "", A25)</f>
        <v>Pure Ammonia</v>
      </c>
      <c r="B5" s="433"/>
      <c r="C5" s="337" t="str">
        <f t="shared" ref="C5:C12" si="0">IF(SUM(C25:N25)&gt;0, SUM(C25:N25), "")</f>
        <v/>
      </c>
      <c r="D5" s="337" t="str">
        <f t="shared" ref="D5:D12" si="1">IF(SUM(O25:Z25)&gt;0, SUM(O25:Z25), "")</f>
        <v/>
      </c>
      <c r="E5" s="337" t="str">
        <f t="shared" ref="E5:E16" si="2">IF(D5="", "", D5*(1+B5))</f>
        <v/>
      </c>
      <c r="F5" s="822" t="str">
        <f t="shared" ref="F5:F16" si="3">IF(E5="", "", E5*(1+B5))</f>
        <v/>
      </c>
      <c r="G5" s="823"/>
      <c r="H5" s="948" t="s">
        <v>910</v>
      </c>
    </row>
    <row r="6" spans="1:8" ht="12" customHeight="1">
      <c r="A6" s="336" t="str">
        <f t="shared" ref="A6:A20" si="4">IF(A26="", "", A26)</f>
        <v>Nitrifying bacteria</v>
      </c>
      <c r="B6" s="433"/>
      <c r="C6" s="337" t="str">
        <f t="shared" si="0"/>
        <v/>
      </c>
      <c r="D6" s="337" t="str">
        <f t="shared" si="1"/>
        <v/>
      </c>
      <c r="E6" s="337" t="str">
        <f t="shared" si="2"/>
        <v/>
      </c>
      <c r="F6" s="822" t="str">
        <f t="shared" si="3"/>
        <v/>
      </c>
      <c r="G6" s="823"/>
      <c r="H6" s="948"/>
    </row>
    <row r="7" spans="1:8" ht="12" customHeight="1">
      <c r="A7" s="336" t="str">
        <f t="shared" si="4"/>
        <v>Water quality test kit reagents</v>
      </c>
      <c r="B7" s="433"/>
      <c r="C7" s="337" t="str">
        <f t="shared" si="0"/>
        <v/>
      </c>
      <c r="D7" s="337" t="str">
        <f t="shared" si="1"/>
        <v/>
      </c>
      <c r="E7" s="337" t="str">
        <f t="shared" si="2"/>
        <v/>
      </c>
      <c r="F7" s="822" t="str">
        <f t="shared" si="3"/>
        <v/>
      </c>
      <c r="G7" s="823"/>
    </row>
    <row r="8" spans="1:8" ht="12" customHeight="1">
      <c r="A8" s="336" t="str">
        <f t="shared" si="4"/>
        <v>Iron test kit reagents</v>
      </c>
      <c r="B8" s="433"/>
      <c r="C8" s="337" t="str">
        <f t="shared" si="0"/>
        <v/>
      </c>
      <c r="D8" s="337" t="str">
        <f t="shared" si="1"/>
        <v/>
      </c>
      <c r="E8" s="337" t="str">
        <f t="shared" si="2"/>
        <v/>
      </c>
      <c r="F8" s="822" t="str">
        <f t="shared" si="3"/>
        <v/>
      </c>
      <c r="G8" s="823"/>
    </row>
    <row r="9" spans="1:8" ht="12" customHeight="1">
      <c r="A9" s="336" t="str">
        <f t="shared" si="4"/>
        <v>Phosphate test kit reagents</v>
      </c>
      <c r="B9" s="433"/>
      <c r="C9" s="337" t="str">
        <f t="shared" si="0"/>
        <v/>
      </c>
      <c r="D9" s="337" t="str">
        <f t="shared" si="1"/>
        <v/>
      </c>
      <c r="E9" s="337" t="str">
        <f t="shared" si="2"/>
        <v/>
      </c>
      <c r="F9" s="822" t="str">
        <f t="shared" si="3"/>
        <v/>
      </c>
      <c r="G9" s="823"/>
    </row>
    <row r="10" spans="1:8" ht="12" customHeight="1">
      <c r="A10" s="336" t="str">
        <f t="shared" si="4"/>
        <v>Microbial test kits reagents</v>
      </c>
      <c r="B10" s="433"/>
      <c r="C10" s="337" t="str">
        <f t="shared" si="0"/>
        <v/>
      </c>
      <c r="D10" s="337" t="str">
        <f t="shared" si="1"/>
        <v/>
      </c>
      <c r="E10" s="337" t="str">
        <f t="shared" si="2"/>
        <v/>
      </c>
      <c r="F10" s="822" t="str">
        <f t="shared" si="3"/>
        <v/>
      </c>
      <c r="G10" s="823"/>
    </row>
    <row r="11" spans="1:8" ht="12" customHeight="1">
      <c r="A11" s="336" t="str">
        <f t="shared" si="4"/>
        <v>pH probe calibration solution</v>
      </c>
      <c r="B11" s="433"/>
      <c r="C11" s="337" t="str">
        <f t="shared" si="0"/>
        <v/>
      </c>
      <c r="D11" s="337" t="str">
        <f t="shared" si="1"/>
        <v/>
      </c>
      <c r="E11" s="337" t="str">
        <f t="shared" si="2"/>
        <v/>
      </c>
      <c r="F11" s="822" t="str">
        <f t="shared" si="3"/>
        <v/>
      </c>
      <c r="G11" s="823"/>
    </row>
    <row r="12" spans="1:8" ht="12" customHeight="1">
      <c r="A12" s="336" t="str">
        <f t="shared" si="4"/>
        <v>Calcium Chloride</v>
      </c>
      <c r="B12" s="433"/>
      <c r="C12" s="337" t="str">
        <f t="shared" si="0"/>
        <v/>
      </c>
      <c r="D12" s="337" t="str">
        <f t="shared" si="1"/>
        <v/>
      </c>
      <c r="E12" s="337" t="str">
        <f t="shared" si="2"/>
        <v/>
      </c>
      <c r="F12" s="822" t="str">
        <f t="shared" si="3"/>
        <v/>
      </c>
      <c r="G12" s="823"/>
    </row>
    <row r="13" spans="1:8" ht="12" customHeight="1">
      <c r="A13" s="336" t="str">
        <f t="shared" si="4"/>
        <v>Third Party Lab Testing</v>
      </c>
      <c r="B13" s="433"/>
      <c r="C13" s="337" t="str">
        <f t="shared" ref="C13:C20" si="5">IF(SUM(C33:N33)&gt;0, SUM(C33:N33), "")</f>
        <v/>
      </c>
      <c r="D13" s="337" t="str">
        <f t="shared" ref="D13:D20" si="6">IF(SUM(O33:Z33)&gt;0, SUM(O33:Z33), "")</f>
        <v/>
      </c>
      <c r="E13" s="337" t="str">
        <f t="shared" si="2"/>
        <v/>
      </c>
      <c r="F13" s="822" t="str">
        <f t="shared" si="3"/>
        <v/>
      </c>
      <c r="G13" s="823"/>
    </row>
    <row r="14" spans="1:8" ht="12" customHeight="1">
      <c r="A14" s="336" t="str">
        <f t="shared" si="4"/>
        <v>Chlorine and chloramine remover</v>
      </c>
      <c r="B14" s="433"/>
      <c r="C14" s="337" t="str">
        <f t="shared" si="5"/>
        <v/>
      </c>
      <c r="D14" s="337" t="str">
        <f t="shared" si="6"/>
        <v/>
      </c>
      <c r="E14" s="337" t="str">
        <f t="shared" si="2"/>
        <v/>
      </c>
      <c r="F14" s="822" t="str">
        <f t="shared" si="3"/>
        <v/>
      </c>
      <c r="G14" s="823"/>
    </row>
    <row r="15" spans="1:8" ht="12" customHeight="1">
      <c r="A15" s="336" t="str">
        <f t="shared" si="4"/>
        <v>KDF Filter Replacement</v>
      </c>
      <c r="B15" s="433"/>
      <c r="C15" s="337" t="str">
        <f t="shared" si="5"/>
        <v/>
      </c>
      <c r="D15" s="337" t="str">
        <f t="shared" si="6"/>
        <v/>
      </c>
      <c r="E15" s="337" t="str">
        <f t="shared" si="2"/>
        <v/>
      </c>
      <c r="F15" s="822" t="str">
        <f t="shared" si="3"/>
        <v/>
      </c>
      <c r="G15" s="823"/>
    </row>
    <row r="16" spans="1:8" ht="12" customHeight="1">
      <c r="A16" s="336" t="str">
        <f t="shared" si="4"/>
        <v>Sediment filter cartridge</v>
      </c>
      <c r="B16" s="433"/>
      <c r="C16" s="337" t="str">
        <f t="shared" si="5"/>
        <v/>
      </c>
      <c r="D16" s="337" t="str">
        <f t="shared" si="6"/>
        <v/>
      </c>
      <c r="E16" s="337" t="str">
        <f t="shared" si="2"/>
        <v/>
      </c>
      <c r="F16" s="822" t="str">
        <f t="shared" si="3"/>
        <v/>
      </c>
      <c r="G16" s="823"/>
    </row>
    <row r="17" spans="1:30" s="914" customFormat="1" ht="12" customHeight="1">
      <c r="A17" s="336" t="str">
        <f t="shared" si="4"/>
        <v/>
      </c>
      <c r="B17" s="433"/>
      <c r="C17" s="337" t="str">
        <f t="shared" si="5"/>
        <v/>
      </c>
      <c r="D17" s="337" t="str">
        <f t="shared" si="6"/>
        <v/>
      </c>
      <c r="E17" s="337" t="str">
        <f>IF(D17="", "", D17*(1+B17))</f>
        <v/>
      </c>
      <c r="F17" s="822" t="str">
        <f>IF(E17="", "", E17*(1+B17))</f>
        <v/>
      </c>
      <c r="G17" s="981"/>
      <c r="H17" s="913"/>
      <c r="I17" s="913"/>
      <c r="J17" s="913"/>
      <c r="K17" s="913"/>
      <c r="L17" s="913"/>
      <c r="M17" s="913"/>
      <c r="N17" s="913"/>
      <c r="O17" s="913"/>
      <c r="P17" s="913"/>
      <c r="Q17" s="913"/>
      <c r="R17" s="913"/>
      <c r="S17" s="913"/>
      <c r="T17" s="913"/>
      <c r="U17" s="913"/>
      <c r="V17" s="913"/>
      <c r="W17" s="913"/>
      <c r="X17" s="913"/>
      <c r="Y17" s="913"/>
      <c r="Z17" s="913"/>
    </row>
    <row r="18" spans="1:30" s="914" customFormat="1" ht="12" customHeight="1">
      <c r="A18" s="336" t="str">
        <f t="shared" si="4"/>
        <v/>
      </c>
      <c r="B18" s="433"/>
      <c r="C18" s="337" t="str">
        <f t="shared" si="5"/>
        <v/>
      </c>
      <c r="D18" s="337" t="str">
        <f t="shared" si="6"/>
        <v/>
      </c>
      <c r="E18" s="337" t="str">
        <f>IF(D18="", "", D18*(1+B18))</f>
        <v/>
      </c>
      <c r="F18" s="822" t="str">
        <f>IF(E18="", "", E18*(1+B18))</f>
        <v/>
      </c>
      <c r="G18" s="981"/>
      <c r="H18" s="913"/>
      <c r="I18" s="913"/>
      <c r="J18" s="913"/>
      <c r="K18" s="913"/>
      <c r="L18" s="913"/>
      <c r="M18" s="913"/>
      <c r="N18" s="913"/>
      <c r="O18" s="913"/>
      <c r="P18" s="913"/>
      <c r="Q18" s="913"/>
      <c r="R18" s="913"/>
      <c r="S18" s="913"/>
      <c r="T18" s="913"/>
      <c r="U18" s="913"/>
      <c r="V18" s="913"/>
      <c r="W18" s="913"/>
      <c r="X18" s="913"/>
      <c r="Y18" s="913"/>
      <c r="Z18" s="913"/>
    </row>
    <row r="19" spans="1:30" s="914" customFormat="1" ht="12" customHeight="1">
      <c r="A19" s="336" t="str">
        <f t="shared" si="4"/>
        <v/>
      </c>
      <c r="B19" s="433"/>
      <c r="C19" s="337" t="str">
        <f t="shared" si="5"/>
        <v/>
      </c>
      <c r="D19" s="337" t="str">
        <f t="shared" si="6"/>
        <v/>
      </c>
      <c r="E19" s="337" t="str">
        <f>IF(D19="", "", D19*(1+B19))</f>
        <v/>
      </c>
      <c r="F19" s="822" t="str">
        <f>IF(E19="", "", E19*(1+B19))</f>
        <v/>
      </c>
      <c r="G19" s="981"/>
      <c r="H19" s="913"/>
      <c r="I19" s="913"/>
      <c r="J19" s="913"/>
      <c r="K19" s="913"/>
      <c r="L19" s="913"/>
      <c r="M19" s="913"/>
      <c r="N19" s="913"/>
      <c r="O19" s="913"/>
      <c r="P19" s="913"/>
      <c r="Q19" s="913"/>
      <c r="R19" s="913"/>
      <c r="S19" s="913"/>
      <c r="T19" s="913"/>
      <c r="U19" s="913"/>
      <c r="V19" s="913"/>
      <c r="W19" s="913"/>
      <c r="X19" s="913"/>
      <c r="Y19" s="913"/>
      <c r="Z19" s="913"/>
    </row>
    <row r="20" spans="1:30" s="914" customFormat="1" ht="12" customHeight="1">
      <c r="A20" s="336" t="str">
        <f t="shared" si="4"/>
        <v/>
      </c>
      <c r="B20" s="433"/>
      <c r="C20" s="337" t="str">
        <f t="shared" si="5"/>
        <v/>
      </c>
      <c r="D20" s="337" t="str">
        <f t="shared" si="6"/>
        <v/>
      </c>
      <c r="E20" s="337" t="str">
        <f>IF(D20="", "", D20*(1+B20))</f>
        <v/>
      </c>
      <c r="F20" s="822" t="str">
        <f>IF(E20="", "", E20*(1+B20))</f>
        <v/>
      </c>
      <c r="G20" s="981"/>
      <c r="H20" s="913"/>
      <c r="I20" s="913"/>
      <c r="J20" s="913"/>
      <c r="K20" s="913"/>
      <c r="L20" s="913"/>
      <c r="M20" s="913"/>
      <c r="N20" s="913"/>
      <c r="O20" s="913"/>
      <c r="P20" s="913"/>
      <c r="Q20" s="913"/>
      <c r="R20" s="913"/>
      <c r="S20" s="913"/>
      <c r="T20" s="913"/>
      <c r="U20" s="913"/>
      <c r="V20" s="913"/>
      <c r="W20" s="913"/>
      <c r="X20" s="913"/>
      <c r="Y20" s="913"/>
      <c r="Z20" s="913"/>
    </row>
    <row r="21" spans="1:30" ht="12" customHeight="1">
      <c r="A21" s="439" t="s">
        <v>591</v>
      </c>
      <c r="B21" s="367"/>
      <c r="C21" s="770">
        <f>SUM(C5:C20)</f>
        <v>0</v>
      </c>
      <c r="D21" s="770">
        <f>SUM(D5:D20)</f>
        <v>0</v>
      </c>
      <c r="E21" s="770">
        <f>SUM(E5:E20)</f>
        <v>0</v>
      </c>
      <c r="F21" s="770">
        <f>SUM(F5:F20)</f>
        <v>0</v>
      </c>
      <c r="G21" s="893"/>
    </row>
    <row r="22" spans="1:30" ht="12" customHeight="1">
      <c r="B22" s="524"/>
    </row>
    <row r="23" spans="1:30" s="274" customFormat="1" ht="12" customHeight="1">
      <c r="A23" s="792" t="s">
        <v>722</v>
      </c>
      <c r="B23" s="987"/>
      <c r="C23" s="988" t="s">
        <v>31</v>
      </c>
      <c r="D23" s="792"/>
      <c r="E23" s="792"/>
      <c r="F23" s="792"/>
      <c r="G23" s="792"/>
      <c r="H23" s="792"/>
      <c r="I23" s="792"/>
      <c r="J23" s="792"/>
      <c r="K23" s="792"/>
      <c r="L23" s="792"/>
      <c r="M23" s="792"/>
      <c r="N23" s="992"/>
      <c r="O23" s="792" t="s">
        <v>21</v>
      </c>
      <c r="P23" s="792"/>
      <c r="Q23" s="792"/>
      <c r="R23" s="792"/>
      <c r="S23" s="792"/>
      <c r="T23" s="792"/>
      <c r="U23" s="792"/>
      <c r="V23" s="792"/>
      <c r="W23" s="792"/>
      <c r="X23" s="792"/>
      <c r="Y23" s="792"/>
      <c r="Z23" s="792"/>
    </row>
    <row r="24" spans="1:30" ht="12" customHeight="1">
      <c r="A24" s="894" t="s">
        <v>723</v>
      </c>
      <c r="B24" s="895" t="s">
        <v>724</v>
      </c>
      <c r="C24" s="1309">
        <f>'2 yr monthly cash flow'!B8</f>
        <v>6</v>
      </c>
      <c r="D24" s="830">
        <f>'2 yr monthly cash flow'!C8</f>
        <v>7</v>
      </c>
      <c r="E24" s="830">
        <f>'2 yr monthly cash flow'!D8</f>
        <v>8</v>
      </c>
      <c r="F24" s="830">
        <f>'2 yr monthly cash flow'!E8</f>
        <v>9</v>
      </c>
      <c r="G24" s="830">
        <f>'2 yr monthly cash flow'!F8</f>
        <v>10</v>
      </c>
      <c r="H24" s="830">
        <f>'2 yr monthly cash flow'!G8</f>
        <v>11</v>
      </c>
      <c r="I24" s="830">
        <f>'2 yr monthly cash flow'!H8</f>
        <v>12</v>
      </c>
      <c r="J24" s="830">
        <f>'2 yr monthly cash flow'!I8</f>
        <v>1</v>
      </c>
      <c r="K24" s="830">
        <f>'2 yr monthly cash flow'!J8</f>
        <v>2</v>
      </c>
      <c r="L24" s="830">
        <f>'2 yr monthly cash flow'!K8</f>
        <v>3</v>
      </c>
      <c r="M24" s="830">
        <f>'2 yr monthly cash flow'!L8</f>
        <v>4</v>
      </c>
      <c r="N24" s="830">
        <f>'2 yr monthly cash flow'!M8</f>
        <v>5</v>
      </c>
      <c r="O24" s="776">
        <f>'2 yr monthly cash flow'!N8</f>
        <v>6</v>
      </c>
      <c r="P24" s="637">
        <f>'2 yr monthly cash flow'!O8</f>
        <v>7</v>
      </c>
      <c r="Q24" s="637">
        <f>'2 yr monthly cash flow'!P8</f>
        <v>8</v>
      </c>
      <c r="R24" s="637">
        <f>'2 yr monthly cash flow'!Q8</f>
        <v>9</v>
      </c>
      <c r="S24" s="637">
        <f>'2 yr monthly cash flow'!R8</f>
        <v>10</v>
      </c>
      <c r="T24" s="637">
        <f>'2 yr monthly cash flow'!S8</f>
        <v>11</v>
      </c>
      <c r="U24" s="637">
        <f>'2 yr monthly cash flow'!T8</f>
        <v>12</v>
      </c>
      <c r="V24" s="637">
        <f>'2 yr monthly cash flow'!U8</f>
        <v>1</v>
      </c>
      <c r="W24" s="637">
        <f>'2 yr monthly cash flow'!V8</f>
        <v>2</v>
      </c>
      <c r="X24" s="637">
        <f>'2 yr monthly cash flow'!W8</f>
        <v>3</v>
      </c>
      <c r="Y24" s="637">
        <f>'2 yr monthly cash flow'!X8</f>
        <v>4</v>
      </c>
      <c r="Z24" s="637">
        <f>'2 yr monthly cash flow'!Y8</f>
        <v>5</v>
      </c>
      <c r="AA24" s="273"/>
      <c r="AB24" s="273"/>
      <c r="AC24" s="251"/>
      <c r="AD24" s="251"/>
    </row>
    <row r="25" spans="1:30" ht="12" customHeight="1">
      <c r="A25" s="896" t="s">
        <v>287</v>
      </c>
      <c r="B25" s="896"/>
      <c r="C25" s="834"/>
      <c r="D25" s="834"/>
      <c r="E25" s="834"/>
      <c r="F25" s="834"/>
      <c r="G25" s="834"/>
      <c r="H25" s="834"/>
      <c r="I25" s="834"/>
      <c r="J25" s="834"/>
      <c r="K25" s="834"/>
      <c r="L25" s="834"/>
      <c r="M25" s="834"/>
      <c r="N25" s="834"/>
      <c r="O25" s="836"/>
      <c r="P25" s="517"/>
      <c r="Q25" s="517"/>
      <c r="R25" s="517"/>
      <c r="S25" s="517"/>
      <c r="T25" s="517"/>
      <c r="U25" s="517"/>
      <c r="V25" s="517"/>
      <c r="W25" s="517"/>
      <c r="X25" s="517"/>
      <c r="Y25" s="517"/>
      <c r="Z25" s="517"/>
      <c r="AA25" s="15"/>
      <c r="AB25" s="15"/>
    </row>
    <row r="26" spans="1:30" ht="12" customHeight="1">
      <c r="A26" s="896" t="s">
        <v>290</v>
      </c>
      <c r="B26" s="896"/>
      <c r="C26" s="834"/>
      <c r="D26" s="834"/>
      <c r="E26" s="834"/>
      <c r="F26" s="834"/>
      <c r="G26" s="834"/>
      <c r="H26" s="834"/>
      <c r="I26" s="834"/>
      <c r="J26" s="834"/>
      <c r="K26" s="834"/>
      <c r="L26" s="834"/>
      <c r="M26" s="834"/>
      <c r="N26" s="834"/>
      <c r="O26" s="836"/>
      <c r="P26" s="517"/>
      <c r="Q26" s="517"/>
      <c r="R26" s="517"/>
      <c r="S26" s="517"/>
      <c r="T26" s="517"/>
      <c r="U26" s="517"/>
      <c r="V26" s="517"/>
      <c r="W26" s="517"/>
      <c r="X26" s="517"/>
      <c r="Y26" s="517"/>
      <c r="Z26" s="517"/>
      <c r="AA26" s="15"/>
      <c r="AB26" s="15"/>
    </row>
    <row r="27" spans="1:30" ht="12" customHeight="1">
      <c r="A27" s="888" t="s">
        <v>646</v>
      </c>
      <c r="B27" s="888"/>
      <c r="C27" s="834"/>
      <c r="D27" s="834"/>
      <c r="E27" s="834"/>
      <c r="F27" s="834"/>
      <c r="G27" s="834"/>
      <c r="H27" s="834"/>
      <c r="I27" s="834"/>
      <c r="J27" s="834"/>
      <c r="K27" s="834"/>
      <c r="L27" s="834"/>
      <c r="M27" s="834"/>
      <c r="N27" s="834"/>
      <c r="O27" s="836"/>
      <c r="P27" s="517"/>
      <c r="Q27" s="517"/>
      <c r="R27" s="517"/>
      <c r="S27" s="517"/>
      <c r="T27" s="517"/>
      <c r="U27" s="517"/>
      <c r="V27" s="517"/>
      <c r="W27" s="517"/>
      <c r="X27" s="517"/>
      <c r="Y27" s="517"/>
      <c r="Z27" s="517"/>
      <c r="AA27" s="15"/>
      <c r="AB27" s="15"/>
    </row>
    <row r="28" spans="1:30" ht="12" customHeight="1">
      <c r="A28" s="896" t="s">
        <v>647</v>
      </c>
      <c r="B28" s="896"/>
      <c r="C28" s="834"/>
      <c r="D28" s="834"/>
      <c r="E28" s="834"/>
      <c r="F28" s="834"/>
      <c r="G28" s="834"/>
      <c r="H28" s="834"/>
      <c r="I28" s="834"/>
      <c r="J28" s="834"/>
      <c r="K28" s="834"/>
      <c r="L28" s="834"/>
      <c r="M28" s="834"/>
      <c r="N28" s="834"/>
      <c r="O28" s="836"/>
      <c r="P28" s="517"/>
      <c r="Q28" s="517"/>
      <c r="R28" s="517"/>
      <c r="S28" s="517"/>
      <c r="T28" s="517"/>
      <c r="U28" s="517"/>
      <c r="V28" s="517"/>
      <c r="W28" s="517"/>
      <c r="X28" s="517"/>
      <c r="Y28" s="517"/>
      <c r="Z28" s="517"/>
      <c r="AA28" s="15"/>
      <c r="AB28" s="15"/>
    </row>
    <row r="29" spans="1:30" ht="12" customHeight="1">
      <c r="A29" s="896" t="s">
        <v>648</v>
      </c>
      <c r="B29" s="896"/>
      <c r="C29" s="834"/>
      <c r="D29" s="834"/>
      <c r="E29" s="834"/>
      <c r="F29" s="834"/>
      <c r="G29" s="834"/>
      <c r="H29" s="834"/>
      <c r="I29" s="834"/>
      <c r="J29" s="834"/>
      <c r="K29" s="834"/>
      <c r="L29" s="834"/>
      <c r="M29" s="834"/>
      <c r="N29" s="834"/>
      <c r="O29" s="836"/>
      <c r="P29" s="517"/>
      <c r="Q29" s="517"/>
      <c r="R29" s="517"/>
      <c r="S29" s="517"/>
      <c r="T29" s="517"/>
      <c r="U29" s="517"/>
      <c r="V29" s="517"/>
      <c r="W29" s="517"/>
      <c r="X29" s="517"/>
      <c r="Y29" s="517"/>
      <c r="Z29" s="517"/>
      <c r="AA29" s="15"/>
      <c r="AB29" s="15"/>
    </row>
    <row r="30" spans="1:30" ht="12" customHeight="1">
      <c r="A30" s="896" t="s">
        <v>649</v>
      </c>
      <c r="B30" s="896"/>
      <c r="C30" s="834"/>
      <c r="D30" s="834"/>
      <c r="E30" s="834"/>
      <c r="F30" s="834"/>
      <c r="G30" s="834"/>
      <c r="H30" s="834"/>
      <c r="I30" s="834"/>
      <c r="J30" s="834"/>
      <c r="K30" s="834"/>
      <c r="L30" s="834"/>
      <c r="M30" s="834"/>
      <c r="N30" s="834"/>
      <c r="O30" s="836"/>
      <c r="P30" s="517"/>
      <c r="Q30" s="517"/>
      <c r="R30" s="517"/>
      <c r="S30" s="517"/>
      <c r="T30" s="517"/>
      <c r="U30" s="517"/>
      <c r="V30" s="517"/>
      <c r="W30" s="517"/>
      <c r="X30" s="517"/>
      <c r="Y30" s="517"/>
      <c r="Z30" s="517"/>
      <c r="AA30" s="15"/>
      <c r="AB30" s="15"/>
    </row>
    <row r="31" spans="1:30" ht="12" customHeight="1">
      <c r="A31" s="888" t="s">
        <v>302</v>
      </c>
      <c r="B31" s="888"/>
      <c r="C31" s="834"/>
      <c r="D31" s="834"/>
      <c r="E31" s="834"/>
      <c r="F31" s="834"/>
      <c r="G31" s="834"/>
      <c r="H31" s="834"/>
      <c r="I31" s="834"/>
      <c r="J31" s="834"/>
      <c r="K31" s="834"/>
      <c r="L31" s="834"/>
      <c r="M31" s="834"/>
      <c r="N31" s="834"/>
      <c r="O31" s="836"/>
      <c r="P31" s="517"/>
      <c r="Q31" s="517"/>
      <c r="R31" s="517"/>
      <c r="S31" s="517"/>
      <c r="T31" s="517"/>
      <c r="U31" s="517"/>
      <c r="V31" s="517"/>
      <c r="W31" s="517"/>
      <c r="X31" s="517"/>
      <c r="Y31" s="517"/>
      <c r="Z31" s="517"/>
      <c r="AA31" s="15"/>
      <c r="AB31" s="15"/>
    </row>
    <row r="32" spans="1:30" ht="12" customHeight="1">
      <c r="A32" s="888" t="s">
        <v>315</v>
      </c>
      <c r="B32" s="888"/>
      <c r="C32" s="834"/>
      <c r="D32" s="834"/>
      <c r="E32" s="834"/>
      <c r="F32" s="834"/>
      <c r="G32" s="834"/>
      <c r="H32" s="834"/>
      <c r="I32" s="834"/>
      <c r="J32" s="834"/>
      <c r="K32" s="834"/>
      <c r="L32" s="834"/>
      <c r="M32" s="834"/>
      <c r="N32" s="834"/>
      <c r="O32" s="836"/>
      <c r="P32" s="517"/>
      <c r="Q32" s="517"/>
      <c r="R32" s="517"/>
      <c r="S32" s="517"/>
      <c r="T32" s="517"/>
      <c r="U32" s="517"/>
      <c r="V32" s="517"/>
      <c r="W32" s="517"/>
      <c r="X32" s="517"/>
      <c r="Y32" s="517"/>
      <c r="Z32" s="517"/>
    </row>
    <row r="33" spans="1:28" ht="12" customHeight="1">
      <c r="A33" s="888" t="s">
        <v>650</v>
      </c>
      <c r="B33" s="888"/>
      <c r="C33" s="834"/>
      <c r="D33" s="834"/>
      <c r="E33" s="834"/>
      <c r="F33" s="834"/>
      <c r="G33" s="834"/>
      <c r="H33" s="834"/>
      <c r="I33" s="834"/>
      <c r="J33" s="834"/>
      <c r="K33" s="834"/>
      <c r="L33" s="834"/>
      <c r="M33" s="834"/>
      <c r="N33" s="834"/>
      <c r="O33" s="836"/>
      <c r="P33" s="517"/>
      <c r="Q33" s="517"/>
      <c r="R33" s="517"/>
      <c r="S33" s="517"/>
      <c r="T33" s="517"/>
      <c r="U33" s="517"/>
      <c r="V33" s="517"/>
      <c r="W33" s="517"/>
      <c r="X33" s="517"/>
      <c r="Y33" s="517"/>
      <c r="Z33" s="517"/>
    </row>
    <row r="34" spans="1:28" ht="12" customHeight="1">
      <c r="A34" s="896" t="s">
        <v>304</v>
      </c>
      <c r="B34" s="896"/>
      <c r="C34" s="834"/>
      <c r="D34" s="834"/>
      <c r="E34" s="834"/>
      <c r="F34" s="834"/>
      <c r="G34" s="834"/>
      <c r="H34" s="834"/>
      <c r="I34" s="834"/>
      <c r="J34" s="834"/>
      <c r="K34" s="834"/>
      <c r="L34" s="834"/>
      <c r="M34" s="834"/>
      <c r="N34" s="834"/>
      <c r="O34" s="836"/>
      <c r="P34" s="517"/>
      <c r="Q34" s="517"/>
      <c r="R34" s="517"/>
      <c r="S34" s="517"/>
      <c r="T34" s="517"/>
      <c r="U34" s="517"/>
      <c r="V34" s="517"/>
      <c r="W34" s="517"/>
      <c r="X34" s="517"/>
      <c r="Y34" s="517"/>
      <c r="Z34" s="517"/>
      <c r="AA34" s="15"/>
      <c r="AB34" s="15"/>
    </row>
    <row r="35" spans="1:28" ht="12" customHeight="1">
      <c r="A35" s="896" t="s">
        <v>651</v>
      </c>
      <c r="B35" s="896"/>
      <c r="C35" s="834"/>
      <c r="D35" s="834"/>
      <c r="E35" s="834"/>
      <c r="F35" s="834"/>
      <c r="G35" s="834"/>
      <c r="H35" s="834"/>
      <c r="I35" s="834"/>
      <c r="J35" s="834"/>
      <c r="K35" s="834"/>
      <c r="L35" s="834"/>
      <c r="M35" s="834"/>
      <c r="N35" s="834"/>
      <c r="O35" s="836"/>
      <c r="P35" s="517"/>
      <c r="Q35" s="517"/>
      <c r="R35" s="517"/>
      <c r="S35" s="517"/>
      <c r="T35" s="517"/>
      <c r="U35" s="517"/>
      <c r="V35" s="517"/>
      <c r="W35" s="517"/>
      <c r="X35" s="517"/>
      <c r="Y35" s="517"/>
      <c r="Z35" s="517"/>
      <c r="AA35" s="15"/>
      <c r="AB35" s="15"/>
    </row>
    <row r="36" spans="1:28" ht="12" customHeight="1">
      <c r="A36" s="896" t="s">
        <v>308</v>
      </c>
      <c r="B36" s="896"/>
      <c r="C36" s="834"/>
      <c r="D36" s="834"/>
      <c r="E36" s="834"/>
      <c r="F36" s="834"/>
      <c r="G36" s="834"/>
      <c r="H36" s="834"/>
      <c r="I36" s="834"/>
      <c r="J36" s="834"/>
      <c r="K36" s="834"/>
      <c r="L36" s="834"/>
      <c r="M36" s="834"/>
      <c r="N36" s="834"/>
      <c r="O36" s="836"/>
      <c r="P36" s="517"/>
      <c r="Q36" s="517"/>
      <c r="R36" s="517"/>
      <c r="S36" s="517"/>
      <c r="T36" s="517"/>
      <c r="U36" s="517"/>
      <c r="V36" s="517"/>
      <c r="W36" s="517"/>
      <c r="X36" s="517"/>
      <c r="Y36" s="517"/>
      <c r="Z36" s="517"/>
      <c r="AA36" s="15"/>
      <c r="AB36" s="15"/>
    </row>
    <row r="37" spans="1:28" s="914" customFormat="1" ht="12" customHeight="1">
      <c r="A37" s="896"/>
      <c r="B37" s="896"/>
      <c r="C37" s="834"/>
      <c r="D37" s="834"/>
      <c r="E37" s="834"/>
      <c r="F37" s="834"/>
      <c r="G37" s="834"/>
      <c r="H37" s="834"/>
      <c r="I37" s="834"/>
      <c r="J37" s="834"/>
      <c r="K37" s="834"/>
      <c r="L37" s="834"/>
      <c r="M37" s="834"/>
      <c r="N37" s="834"/>
      <c r="O37" s="835"/>
      <c r="P37" s="517"/>
      <c r="Q37" s="517"/>
      <c r="R37" s="517"/>
      <c r="S37" s="517"/>
      <c r="T37" s="517"/>
      <c r="U37" s="517"/>
      <c r="V37" s="517"/>
      <c r="W37" s="517"/>
      <c r="X37" s="517"/>
      <c r="Y37" s="517"/>
      <c r="Z37" s="517"/>
      <c r="AA37" s="15"/>
      <c r="AB37" s="15"/>
    </row>
    <row r="38" spans="1:28" s="914" customFormat="1" ht="12" customHeight="1">
      <c r="A38" s="896"/>
      <c r="B38" s="896"/>
      <c r="C38" s="834"/>
      <c r="D38" s="834"/>
      <c r="E38" s="834"/>
      <c r="F38" s="834"/>
      <c r="G38" s="834"/>
      <c r="H38" s="834"/>
      <c r="I38" s="834"/>
      <c r="J38" s="834"/>
      <c r="K38" s="834"/>
      <c r="L38" s="834"/>
      <c r="M38" s="834"/>
      <c r="N38" s="834"/>
      <c r="O38" s="835"/>
      <c r="P38" s="517"/>
      <c r="Q38" s="517"/>
      <c r="R38" s="517"/>
      <c r="S38" s="517"/>
      <c r="T38" s="517"/>
      <c r="U38" s="517"/>
      <c r="V38" s="517"/>
      <c r="W38" s="517"/>
      <c r="X38" s="517"/>
      <c r="Y38" s="517"/>
      <c r="Z38" s="517"/>
      <c r="AA38" s="15"/>
      <c r="AB38" s="15"/>
    </row>
    <row r="39" spans="1:28" s="914" customFormat="1" ht="12" customHeight="1">
      <c r="A39" s="896"/>
      <c r="B39" s="896"/>
      <c r="C39" s="834"/>
      <c r="D39" s="834"/>
      <c r="E39" s="834"/>
      <c r="F39" s="834"/>
      <c r="G39" s="834"/>
      <c r="H39" s="834"/>
      <c r="I39" s="834"/>
      <c r="J39" s="834"/>
      <c r="K39" s="834"/>
      <c r="L39" s="834"/>
      <c r="M39" s="834"/>
      <c r="N39" s="834"/>
      <c r="O39" s="835"/>
      <c r="P39" s="517"/>
      <c r="Q39" s="517"/>
      <c r="R39" s="517"/>
      <c r="S39" s="517"/>
      <c r="T39" s="517"/>
      <c r="U39" s="517"/>
      <c r="V39" s="517"/>
      <c r="W39" s="517"/>
      <c r="X39" s="517"/>
      <c r="Y39" s="517"/>
      <c r="Z39" s="517"/>
      <c r="AA39" s="15"/>
      <c r="AB39" s="15"/>
    </row>
    <row r="40" spans="1:28" s="914" customFormat="1" ht="12" customHeight="1">
      <c r="A40" s="896"/>
      <c r="B40" s="896"/>
      <c r="C40" s="834"/>
      <c r="D40" s="834"/>
      <c r="E40" s="834"/>
      <c r="F40" s="834"/>
      <c r="G40" s="834"/>
      <c r="H40" s="834"/>
      <c r="I40" s="834"/>
      <c r="J40" s="834"/>
      <c r="K40" s="834"/>
      <c r="L40" s="834"/>
      <c r="M40" s="834"/>
      <c r="N40" s="834"/>
      <c r="O40" s="835"/>
      <c r="P40" s="517"/>
      <c r="Q40" s="517"/>
      <c r="R40" s="517"/>
      <c r="S40" s="517"/>
      <c r="T40" s="517"/>
      <c r="U40" s="517"/>
      <c r="V40" s="517"/>
      <c r="W40" s="517"/>
      <c r="X40" s="517"/>
      <c r="Y40" s="517"/>
      <c r="Z40" s="517"/>
      <c r="AA40" s="15"/>
      <c r="AB40" s="15"/>
    </row>
    <row r="41" spans="1:28" ht="12" customHeight="1">
      <c r="A41" s="890" t="s">
        <v>289</v>
      </c>
      <c r="B41" s="890"/>
      <c r="C41" s="839">
        <f>SUM(C25:C40)</f>
        <v>0</v>
      </c>
      <c r="D41" s="839">
        <f t="shared" ref="D41:Z41" si="7">SUM(D25:D40)</f>
        <v>0</v>
      </c>
      <c r="E41" s="839">
        <f t="shared" si="7"/>
        <v>0</v>
      </c>
      <c r="F41" s="839">
        <f t="shared" si="7"/>
        <v>0</v>
      </c>
      <c r="G41" s="839">
        <f t="shared" si="7"/>
        <v>0</v>
      </c>
      <c r="H41" s="839">
        <f t="shared" si="7"/>
        <v>0</v>
      </c>
      <c r="I41" s="839">
        <f t="shared" si="7"/>
        <v>0</v>
      </c>
      <c r="J41" s="839">
        <f t="shared" si="7"/>
        <v>0</v>
      </c>
      <c r="K41" s="839">
        <f t="shared" si="7"/>
        <v>0</v>
      </c>
      <c r="L41" s="839">
        <f t="shared" si="7"/>
        <v>0</v>
      </c>
      <c r="M41" s="839">
        <f t="shared" si="7"/>
        <v>0</v>
      </c>
      <c r="N41" s="839">
        <f t="shared" si="7"/>
        <v>0</v>
      </c>
      <c r="O41" s="839">
        <f t="shared" si="7"/>
        <v>0</v>
      </c>
      <c r="P41" s="839">
        <f t="shared" si="7"/>
        <v>0</v>
      </c>
      <c r="Q41" s="839">
        <f t="shared" si="7"/>
        <v>0</v>
      </c>
      <c r="R41" s="839">
        <f t="shared" si="7"/>
        <v>0</v>
      </c>
      <c r="S41" s="839">
        <f t="shared" si="7"/>
        <v>0</v>
      </c>
      <c r="T41" s="839">
        <f t="shared" si="7"/>
        <v>0</v>
      </c>
      <c r="U41" s="839">
        <f t="shared" si="7"/>
        <v>0</v>
      </c>
      <c r="V41" s="839">
        <f t="shared" si="7"/>
        <v>0</v>
      </c>
      <c r="W41" s="839">
        <f t="shared" si="7"/>
        <v>0</v>
      </c>
      <c r="X41" s="839">
        <f t="shared" si="7"/>
        <v>0</v>
      </c>
      <c r="Y41" s="839">
        <f t="shared" si="7"/>
        <v>0</v>
      </c>
      <c r="Z41" s="839">
        <f t="shared" si="7"/>
        <v>0</v>
      </c>
    </row>
    <row r="42" spans="1:28" ht="12" customHeight="1">
      <c r="A42" s="825"/>
      <c r="B42" s="897"/>
      <c r="C42" s="825"/>
      <c r="D42" s="825"/>
      <c r="E42" s="825"/>
      <c r="F42" s="825"/>
      <c r="G42" s="825"/>
      <c r="H42" s="825"/>
      <c r="I42" s="825"/>
      <c r="J42" s="825"/>
      <c r="K42" s="825"/>
      <c r="L42" s="825"/>
      <c r="M42" s="898"/>
      <c r="N42" s="825"/>
    </row>
    <row r="43" spans="1:28" ht="12" customHeight="1">
      <c r="B43" s="524"/>
    </row>
    <row r="44" spans="1:28" ht="12" customHeight="1">
      <c r="B44" s="524"/>
    </row>
    <row r="45" spans="1:28" ht="12" customHeight="1">
      <c r="B45" s="524"/>
    </row>
    <row r="46" spans="1:28" ht="12" customHeight="1">
      <c r="B46" s="524"/>
    </row>
    <row r="47" spans="1:28" ht="12" customHeight="1">
      <c r="B47" s="524"/>
    </row>
    <row r="48" spans="1:28" ht="12" customHeight="1">
      <c r="B48" s="524"/>
    </row>
    <row r="49" spans="2:2" ht="12" customHeight="1">
      <c r="B49" s="524"/>
    </row>
    <row r="50" spans="2:2" ht="12" customHeight="1">
      <c r="B50" s="524"/>
    </row>
    <row r="51" spans="2:2" ht="12" customHeight="1">
      <c r="B51" s="524"/>
    </row>
    <row r="52" spans="2:2" ht="12" customHeight="1">
      <c r="B52" s="524"/>
    </row>
    <row r="53" spans="2:2" ht="12" customHeight="1">
      <c r="B53" s="524"/>
    </row>
    <row r="54" spans="2:2" ht="12" customHeight="1">
      <c r="B54" s="524"/>
    </row>
    <row r="55" spans="2:2" ht="12" customHeight="1">
      <c r="B55" s="524"/>
    </row>
    <row r="56" spans="2:2" ht="12" customHeight="1">
      <c r="B56" s="524"/>
    </row>
    <row r="57" spans="2:2" ht="12" customHeight="1">
      <c r="B57" s="524"/>
    </row>
    <row r="58" spans="2:2" ht="12" customHeight="1">
      <c r="B58" s="524"/>
    </row>
    <row r="59" spans="2:2" ht="12" customHeight="1">
      <c r="B59" s="524"/>
    </row>
    <row r="60" spans="2:2" ht="12" customHeight="1">
      <c r="B60" s="524"/>
    </row>
    <row r="61" spans="2:2" ht="12" customHeight="1">
      <c r="B61" s="524"/>
    </row>
    <row r="62" spans="2:2" ht="12" customHeight="1">
      <c r="B62" s="524"/>
    </row>
    <row r="63" spans="2:2" ht="12" customHeight="1">
      <c r="B63" s="524"/>
    </row>
    <row r="64" spans="2:2" ht="12" customHeight="1">
      <c r="B64" s="524"/>
    </row>
    <row r="65" spans="2:2" ht="12" customHeight="1">
      <c r="B65" s="524"/>
    </row>
    <row r="66" spans="2:2" ht="12" customHeight="1">
      <c r="B66" s="524"/>
    </row>
    <row r="67" spans="2:2" ht="12" customHeight="1">
      <c r="B67" s="524"/>
    </row>
    <row r="68" spans="2:2" ht="12" customHeight="1">
      <c r="B68" s="524"/>
    </row>
    <row r="69" spans="2:2" ht="12" customHeight="1">
      <c r="B69" s="524"/>
    </row>
    <row r="70" spans="2:2" ht="12" customHeight="1">
      <c r="B70" s="524"/>
    </row>
    <row r="71" spans="2:2" ht="12" customHeight="1">
      <c r="B71" s="524"/>
    </row>
    <row r="72" spans="2:2" ht="12" customHeight="1">
      <c r="B72" s="524"/>
    </row>
    <row r="73" spans="2:2" ht="12" customHeight="1">
      <c r="B73" s="524"/>
    </row>
    <row r="74" spans="2:2" ht="12" customHeight="1">
      <c r="B74" s="524"/>
    </row>
    <row r="75" spans="2:2" ht="12" customHeight="1">
      <c r="B75" s="524"/>
    </row>
    <row r="76" spans="2:2" ht="12" customHeight="1">
      <c r="B76" s="524"/>
    </row>
    <row r="77" spans="2:2" ht="12" customHeight="1">
      <c r="B77" s="524"/>
    </row>
    <row r="78" spans="2:2" ht="12" customHeight="1">
      <c r="B78" s="524"/>
    </row>
    <row r="79" spans="2:2" ht="12" customHeight="1">
      <c r="B79" s="524"/>
    </row>
    <row r="80" spans="2:2" ht="12" customHeight="1">
      <c r="B80" s="524"/>
    </row>
    <row r="81" spans="2:2" ht="12" customHeight="1">
      <c r="B81" s="524"/>
    </row>
    <row r="82" spans="2:2" ht="12" customHeight="1">
      <c r="B82" s="524"/>
    </row>
    <row r="83" spans="2:2" ht="12" customHeight="1">
      <c r="B83" s="524"/>
    </row>
    <row r="84" spans="2:2" ht="12" customHeight="1">
      <c r="B84" s="524"/>
    </row>
    <row r="85" spans="2:2" ht="12" customHeight="1">
      <c r="B85" s="524"/>
    </row>
    <row r="86" spans="2:2" ht="12" customHeight="1">
      <c r="B86" s="524"/>
    </row>
    <row r="87" spans="2:2" ht="12" customHeight="1">
      <c r="B87" s="524"/>
    </row>
    <row r="88" spans="2:2" ht="12" customHeight="1">
      <c r="B88" s="524"/>
    </row>
    <row r="89" spans="2:2" ht="12" customHeight="1">
      <c r="B89" s="524"/>
    </row>
    <row r="90" spans="2:2" ht="12" customHeight="1">
      <c r="B90" s="524"/>
    </row>
    <row r="91" spans="2:2" ht="12" customHeight="1">
      <c r="B91" s="524"/>
    </row>
    <row r="92" spans="2:2" ht="12" customHeight="1">
      <c r="B92" s="524"/>
    </row>
    <row r="93" spans="2:2" ht="12" customHeight="1">
      <c r="B93" s="524"/>
    </row>
    <row r="94" spans="2:2" ht="12" customHeight="1">
      <c r="B94" s="524"/>
    </row>
    <row r="95" spans="2:2" ht="12" customHeight="1">
      <c r="B95" s="524"/>
    </row>
    <row r="96" spans="2:2" ht="12" customHeight="1">
      <c r="B96" s="524"/>
    </row>
    <row r="97" spans="2:2" ht="12" customHeight="1">
      <c r="B97" s="524"/>
    </row>
    <row r="98" spans="2:2" ht="12" customHeight="1">
      <c r="B98" s="524"/>
    </row>
    <row r="99" spans="2:2" ht="12" customHeight="1">
      <c r="B99" s="524"/>
    </row>
    <row r="100" spans="2:2" ht="12" customHeight="1">
      <c r="B100" s="524"/>
    </row>
    <row r="101" spans="2:2" ht="12" customHeight="1">
      <c r="B101" s="524"/>
    </row>
    <row r="102" spans="2:2" ht="12" customHeight="1">
      <c r="B102" s="524"/>
    </row>
    <row r="103" spans="2:2" ht="12" customHeight="1">
      <c r="B103" s="524"/>
    </row>
    <row r="104" spans="2:2" ht="12" customHeight="1">
      <c r="B104" s="524"/>
    </row>
    <row r="105" spans="2:2" ht="12" customHeight="1">
      <c r="B105" s="524"/>
    </row>
    <row r="106" spans="2:2" ht="12" customHeight="1">
      <c r="B106" s="524"/>
    </row>
    <row r="107" spans="2:2" ht="12" customHeight="1">
      <c r="B107" s="524"/>
    </row>
    <row r="108" spans="2:2" ht="12" customHeight="1">
      <c r="B108" s="524"/>
    </row>
    <row r="109" spans="2:2" ht="12" customHeight="1">
      <c r="B109" s="524"/>
    </row>
    <row r="110" spans="2:2" ht="12" customHeight="1">
      <c r="B110" s="524"/>
    </row>
    <row r="111" spans="2:2" ht="12" customHeight="1">
      <c r="B111" s="524"/>
    </row>
    <row r="112" spans="2:2" ht="12" customHeight="1">
      <c r="B112" s="524"/>
    </row>
    <row r="113" spans="2:2" ht="12" customHeight="1">
      <c r="B113" s="524"/>
    </row>
    <row r="114" spans="2:2" ht="12" customHeight="1">
      <c r="B114" s="524"/>
    </row>
    <row r="115" spans="2:2" ht="12" customHeight="1">
      <c r="B115" s="524"/>
    </row>
    <row r="116" spans="2:2" ht="12" customHeight="1">
      <c r="B116" s="524"/>
    </row>
    <row r="117" spans="2:2" ht="12" customHeight="1">
      <c r="B117" s="524"/>
    </row>
    <row r="118" spans="2:2" ht="12" customHeight="1">
      <c r="B118" s="524"/>
    </row>
    <row r="119" spans="2:2" ht="12" customHeight="1">
      <c r="B119" s="524"/>
    </row>
    <row r="120" spans="2:2" ht="12" customHeight="1">
      <c r="B120" s="524"/>
    </row>
    <row r="121" spans="2:2" ht="12" customHeight="1">
      <c r="B121" s="524"/>
    </row>
    <row r="122" spans="2:2" ht="12" customHeight="1">
      <c r="B122" s="524"/>
    </row>
    <row r="123" spans="2:2" ht="12" customHeight="1">
      <c r="B123" s="524"/>
    </row>
    <row r="124" spans="2:2" ht="12" customHeight="1">
      <c r="B124" s="524"/>
    </row>
    <row r="125" spans="2:2" ht="12" customHeight="1">
      <c r="B125" s="524"/>
    </row>
    <row r="126" spans="2:2" ht="12" customHeight="1">
      <c r="B126" s="524"/>
    </row>
    <row r="127" spans="2:2" ht="12" customHeight="1">
      <c r="B127" s="524"/>
    </row>
    <row r="128" spans="2:2" ht="12" customHeight="1">
      <c r="B128" s="524"/>
    </row>
    <row r="129" spans="2:2" ht="12" customHeight="1">
      <c r="B129" s="524"/>
    </row>
    <row r="130" spans="2:2" ht="12" customHeight="1">
      <c r="B130" s="524"/>
    </row>
    <row r="131" spans="2:2" ht="12" customHeight="1">
      <c r="B131" s="524"/>
    </row>
    <row r="132" spans="2:2" ht="12" customHeight="1">
      <c r="B132" s="524"/>
    </row>
    <row r="133" spans="2:2" ht="12" customHeight="1">
      <c r="B133" s="524"/>
    </row>
    <row r="134" spans="2:2" ht="12" customHeight="1">
      <c r="B134" s="524"/>
    </row>
    <row r="135" spans="2:2" ht="12" customHeight="1">
      <c r="B135" s="524"/>
    </row>
    <row r="136" spans="2:2" ht="12" customHeight="1">
      <c r="B136" s="524"/>
    </row>
    <row r="137" spans="2:2" ht="12" customHeight="1">
      <c r="B137" s="524"/>
    </row>
    <row r="138" spans="2:2" ht="12" customHeight="1">
      <c r="B138" s="524"/>
    </row>
    <row r="139" spans="2:2" ht="12" customHeight="1">
      <c r="B139" s="524"/>
    </row>
    <row r="140" spans="2:2" ht="12" customHeight="1">
      <c r="B140" s="524"/>
    </row>
    <row r="141" spans="2:2" ht="12" customHeight="1">
      <c r="B141" s="524"/>
    </row>
    <row r="142" spans="2:2" ht="12" customHeight="1">
      <c r="B142" s="524"/>
    </row>
    <row r="143" spans="2:2" ht="12" customHeight="1">
      <c r="B143" s="524"/>
    </row>
    <row r="144" spans="2:2" ht="12" customHeight="1">
      <c r="B144" s="524"/>
    </row>
    <row r="145" spans="2:2" ht="12" customHeight="1">
      <c r="B145" s="524"/>
    </row>
    <row r="146" spans="2:2" ht="12" customHeight="1">
      <c r="B146" s="524"/>
    </row>
    <row r="147" spans="2:2" ht="12" customHeight="1">
      <c r="B147" s="524"/>
    </row>
    <row r="148" spans="2:2" ht="12" customHeight="1">
      <c r="B148" s="524"/>
    </row>
    <row r="149" spans="2:2" ht="12" customHeight="1">
      <c r="B149" s="524"/>
    </row>
    <row r="150" spans="2:2" ht="12" customHeight="1">
      <c r="B150" s="524"/>
    </row>
    <row r="151" spans="2:2" ht="12" customHeight="1">
      <c r="B151" s="524"/>
    </row>
    <row r="152" spans="2:2" ht="12" customHeight="1">
      <c r="B152" s="524"/>
    </row>
    <row r="153" spans="2:2" ht="12" customHeight="1">
      <c r="B153" s="524"/>
    </row>
    <row r="154" spans="2:2" ht="12" customHeight="1">
      <c r="B154" s="524"/>
    </row>
    <row r="155" spans="2:2" ht="12" customHeight="1">
      <c r="B155" s="524"/>
    </row>
    <row r="156" spans="2:2" ht="12" customHeight="1">
      <c r="B156" s="524"/>
    </row>
    <row r="157" spans="2:2" ht="12" customHeight="1">
      <c r="B157" s="524"/>
    </row>
    <row r="158" spans="2:2" ht="12" customHeight="1">
      <c r="B158" s="524"/>
    </row>
    <row r="159" spans="2:2" ht="12" customHeight="1">
      <c r="B159" s="524"/>
    </row>
    <row r="160" spans="2:2" ht="12" customHeight="1">
      <c r="B160" s="524"/>
    </row>
    <row r="161" spans="2:2" ht="12" customHeight="1">
      <c r="B161" s="524"/>
    </row>
    <row r="162" spans="2:2" ht="12" customHeight="1">
      <c r="B162" s="524"/>
    </row>
    <row r="163" spans="2:2" ht="12" customHeight="1">
      <c r="B163" s="524"/>
    </row>
    <row r="164" spans="2:2" ht="12" customHeight="1">
      <c r="B164" s="524"/>
    </row>
    <row r="165" spans="2:2" ht="12" customHeight="1">
      <c r="B165" s="524"/>
    </row>
    <row r="166" spans="2:2" ht="12" customHeight="1">
      <c r="B166" s="524"/>
    </row>
    <row r="167" spans="2:2" ht="12" customHeight="1">
      <c r="B167" s="524"/>
    </row>
    <row r="168" spans="2:2" ht="12" customHeight="1">
      <c r="B168" s="524"/>
    </row>
    <row r="169" spans="2:2" ht="12" customHeight="1">
      <c r="B169" s="524"/>
    </row>
    <row r="170" spans="2:2" ht="12" customHeight="1">
      <c r="B170" s="524"/>
    </row>
    <row r="171" spans="2:2" ht="12" customHeight="1">
      <c r="B171" s="524"/>
    </row>
    <row r="172" spans="2:2" ht="12" customHeight="1">
      <c r="B172" s="524"/>
    </row>
    <row r="173" spans="2:2" ht="12" customHeight="1">
      <c r="B173" s="524"/>
    </row>
    <row r="174" spans="2:2" ht="12" customHeight="1">
      <c r="B174" s="524"/>
    </row>
    <row r="175" spans="2:2" ht="12" customHeight="1">
      <c r="B175" s="524"/>
    </row>
    <row r="176" spans="2:2" ht="12" customHeight="1">
      <c r="B176" s="524"/>
    </row>
    <row r="177" spans="2:2" ht="12" customHeight="1">
      <c r="B177" s="524"/>
    </row>
    <row r="178" spans="2:2" ht="12" customHeight="1">
      <c r="B178" s="524"/>
    </row>
    <row r="179" spans="2:2" ht="12" customHeight="1">
      <c r="B179" s="524"/>
    </row>
    <row r="180" spans="2:2" ht="12" customHeight="1">
      <c r="B180" s="524"/>
    </row>
    <row r="181" spans="2:2" ht="12" customHeight="1">
      <c r="B181" s="524"/>
    </row>
    <row r="182" spans="2:2" ht="12" customHeight="1">
      <c r="B182" s="524"/>
    </row>
    <row r="183" spans="2:2" ht="12" customHeight="1">
      <c r="B183" s="524"/>
    </row>
    <row r="184" spans="2:2" ht="12" customHeight="1">
      <c r="B184" s="524"/>
    </row>
    <row r="185" spans="2:2" ht="12" customHeight="1">
      <c r="B185" s="524"/>
    </row>
    <row r="186" spans="2:2" ht="12" customHeight="1">
      <c r="B186" s="524"/>
    </row>
    <row r="187" spans="2:2" ht="12" customHeight="1">
      <c r="B187" s="524"/>
    </row>
    <row r="188" spans="2:2" ht="12" customHeight="1">
      <c r="B188" s="524"/>
    </row>
    <row r="189" spans="2:2" ht="12" customHeight="1">
      <c r="B189" s="524"/>
    </row>
    <row r="190" spans="2:2" ht="12" customHeight="1">
      <c r="B190" s="524"/>
    </row>
    <row r="191" spans="2:2" ht="12" customHeight="1">
      <c r="B191" s="524"/>
    </row>
    <row r="192" spans="2:2" ht="12" customHeight="1">
      <c r="B192" s="524"/>
    </row>
    <row r="193" spans="2:2" ht="12" customHeight="1">
      <c r="B193" s="524"/>
    </row>
    <row r="194" spans="2:2" ht="12" customHeight="1">
      <c r="B194" s="524"/>
    </row>
    <row r="195" spans="2:2" ht="12" customHeight="1">
      <c r="B195" s="524"/>
    </row>
    <row r="196" spans="2:2" ht="12" customHeight="1">
      <c r="B196" s="524"/>
    </row>
    <row r="197" spans="2:2" ht="12" customHeight="1">
      <c r="B197" s="524"/>
    </row>
    <row r="198" spans="2:2" ht="12" customHeight="1">
      <c r="B198" s="524"/>
    </row>
    <row r="199" spans="2:2" ht="12" customHeight="1">
      <c r="B199" s="524"/>
    </row>
    <row r="200" spans="2:2" ht="12" customHeight="1">
      <c r="B200" s="524"/>
    </row>
    <row r="201" spans="2:2" ht="12" customHeight="1">
      <c r="B201" s="524"/>
    </row>
    <row r="202" spans="2:2" ht="12" customHeight="1">
      <c r="B202" s="524"/>
    </row>
    <row r="203" spans="2:2" ht="12" customHeight="1">
      <c r="B203" s="524"/>
    </row>
    <row r="204" spans="2:2" ht="12" customHeight="1">
      <c r="B204" s="524"/>
    </row>
    <row r="205" spans="2:2" ht="12" customHeight="1">
      <c r="B205" s="524"/>
    </row>
    <row r="206" spans="2:2" ht="12" customHeight="1">
      <c r="B206" s="524"/>
    </row>
    <row r="207" spans="2:2" ht="12" customHeight="1">
      <c r="B207" s="524"/>
    </row>
    <row r="208" spans="2:2" ht="12" customHeight="1">
      <c r="B208" s="524"/>
    </row>
    <row r="209" spans="2:2" ht="12" customHeight="1">
      <c r="B209" s="524"/>
    </row>
    <row r="210" spans="2:2" ht="12" customHeight="1">
      <c r="B210" s="524"/>
    </row>
    <row r="211" spans="2:2" ht="12" customHeight="1">
      <c r="B211" s="524"/>
    </row>
    <row r="212" spans="2:2" ht="12" customHeight="1">
      <c r="B212" s="524"/>
    </row>
    <row r="213" spans="2:2" ht="12" customHeight="1">
      <c r="B213" s="524"/>
    </row>
    <row r="214" spans="2:2" ht="12" customHeight="1">
      <c r="B214" s="524"/>
    </row>
    <row r="215" spans="2:2" ht="12" customHeight="1">
      <c r="B215" s="524"/>
    </row>
    <row r="216" spans="2:2" ht="12" customHeight="1">
      <c r="B216" s="524"/>
    </row>
    <row r="217" spans="2:2" ht="12" customHeight="1">
      <c r="B217" s="524"/>
    </row>
    <row r="218" spans="2:2" ht="12" customHeight="1">
      <c r="B218" s="524"/>
    </row>
    <row r="219" spans="2:2" ht="12" customHeight="1">
      <c r="B219" s="524"/>
    </row>
    <row r="220" spans="2:2" ht="12" customHeight="1">
      <c r="B220" s="524"/>
    </row>
    <row r="221" spans="2:2" ht="12" customHeight="1">
      <c r="B221" s="524"/>
    </row>
    <row r="222" spans="2:2" ht="12" customHeight="1">
      <c r="B222" s="524"/>
    </row>
    <row r="223" spans="2:2" ht="12" customHeight="1">
      <c r="B223" s="524"/>
    </row>
    <row r="224" spans="2:2" ht="12" customHeight="1">
      <c r="B224" s="524"/>
    </row>
    <row r="225" spans="2:2" ht="12" customHeight="1">
      <c r="B225" s="524"/>
    </row>
    <row r="226" spans="2:2" ht="12" customHeight="1">
      <c r="B226" s="524"/>
    </row>
    <row r="227" spans="2:2" ht="12" customHeight="1">
      <c r="B227" s="524"/>
    </row>
    <row r="228" spans="2:2" ht="12" customHeight="1">
      <c r="B228" s="524"/>
    </row>
    <row r="229" spans="2:2" ht="12" customHeight="1">
      <c r="B229" s="524"/>
    </row>
    <row r="230" spans="2:2" ht="12" customHeight="1">
      <c r="B230" s="524"/>
    </row>
    <row r="231" spans="2:2" ht="12" customHeight="1">
      <c r="B231" s="524"/>
    </row>
    <row r="232" spans="2:2" ht="12" customHeight="1">
      <c r="B232" s="524"/>
    </row>
    <row r="233" spans="2:2" ht="12" customHeight="1">
      <c r="B233" s="524"/>
    </row>
    <row r="234" spans="2:2" ht="12" customHeight="1">
      <c r="B234" s="524"/>
    </row>
    <row r="235" spans="2:2" ht="12" customHeight="1">
      <c r="B235" s="524"/>
    </row>
    <row r="236" spans="2:2" ht="12" customHeight="1">
      <c r="B236" s="524"/>
    </row>
    <row r="237" spans="2:2" ht="12" customHeight="1">
      <c r="B237" s="524"/>
    </row>
    <row r="238" spans="2:2" ht="12" customHeight="1">
      <c r="B238" s="524"/>
    </row>
    <row r="239" spans="2:2" ht="12" customHeight="1">
      <c r="B239" s="524"/>
    </row>
    <row r="240" spans="2:2" ht="12" customHeight="1">
      <c r="B240" s="524"/>
    </row>
    <row r="241" spans="2:2" ht="12" customHeight="1">
      <c r="B241" s="524"/>
    </row>
    <row r="242" spans="2:2" ht="12" customHeight="1">
      <c r="B242" s="524"/>
    </row>
    <row r="243" spans="2:2" ht="12" customHeight="1">
      <c r="B243" s="524"/>
    </row>
    <row r="244" spans="2:2" ht="12" customHeight="1">
      <c r="B244" s="524"/>
    </row>
    <row r="245" spans="2:2" ht="12" customHeight="1">
      <c r="B245" s="524"/>
    </row>
    <row r="246" spans="2:2" ht="12" customHeight="1">
      <c r="B246" s="524"/>
    </row>
    <row r="247" spans="2:2" ht="12" customHeight="1">
      <c r="B247" s="524"/>
    </row>
    <row r="248" spans="2:2" ht="12" customHeight="1">
      <c r="B248" s="524"/>
    </row>
    <row r="249" spans="2:2" ht="12" customHeight="1">
      <c r="B249" s="524"/>
    </row>
    <row r="250" spans="2:2" ht="12" customHeight="1">
      <c r="B250" s="524"/>
    </row>
    <row r="251" spans="2:2" ht="12" customHeight="1">
      <c r="B251" s="524"/>
    </row>
    <row r="252" spans="2:2" ht="12" customHeight="1">
      <c r="B252" s="524"/>
    </row>
    <row r="253" spans="2:2" ht="12" customHeight="1">
      <c r="B253" s="524"/>
    </row>
    <row r="254" spans="2:2" ht="12" customHeight="1">
      <c r="B254" s="524"/>
    </row>
    <row r="255" spans="2:2" ht="12" customHeight="1">
      <c r="B255" s="524"/>
    </row>
    <row r="256" spans="2:2" ht="12" customHeight="1">
      <c r="B256" s="524"/>
    </row>
    <row r="257" spans="2:2" ht="12" customHeight="1">
      <c r="B257" s="524"/>
    </row>
    <row r="258" spans="2:2" ht="12" customHeight="1">
      <c r="B258" s="524"/>
    </row>
    <row r="259" spans="2:2" ht="12" customHeight="1">
      <c r="B259" s="524"/>
    </row>
    <row r="260" spans="2:2" ht="12" customHeight="1">
      <c r="B260" s="524"/>
    </row>
    <row r="261" spans="2:2" ht="12" customHeight="1">
      <c r="B261" s="524"/>
    </row>
    <row r="262" spans="2:2" ht="12" customHeight="1">
      <c r="B262" s="524"/>
    </row>
    <row r="263" spans="2:2" ht="12" customHeight="1">
      <c r="B263" s="524"/>
    </row>
    <row r="264" spans="2:2" ht="12" customHeight="1">
      <c r="B264" s="524"/>
    </row>
    <row r="265" spans="2:2" ht="12" customHeight="1">
      <c r="B265" s="524"/>
    </row>
    <row r="266" spans="2:2" ht="12" customHeight="1">
      <c r="B266" s="524"/>
    </row>
    <row r="267" spans="2:2" ht="12" customHeight="1">
      <c r="B267" s="524"/>
    </row>
    <row r="268" spans="2:2" ht="12" customHeight="1">
      <c r="B268" s="524"/>
    </row>
    <row r="269" spans="2:2" ht="12" customHeight="1">
      <c r="B269" s="524"/>
    </row>
    <row r="270" spans="2:2" ht="12" customHeight="1">
      <c r="B270" s="524"/>
    </row>
    <row r="271" spans="2:2" ht="12" customHeight="1">
      <c r="B271" s="524"/>
    </row>
    <row r="272" spans="2:2" ht="12" customHeight="1">
      <c r="B272" s="524"/>
    </row>
    <row r="273" spans="2:2" ht="12" customHeight="1">
      <c r="B273" s="524"/>
    </row>
    <row r="274" spans="2:2" ht="12" customHeight="1">
      <c r="B274" s="524"/>
    </row>
    <row r="275" spans="2:2" ht="12" customHeight="1">
      <c r="B275" s="524"/>
    </row>
    <row r="276" spans="2:2" ht="12" customHeight="1">
      <c r="B276" s="524"/>
    </row>
    <row r="277" spans="2:2" ht="12" customHeight="1">
      <c r="B277" s="524"/>
    </row>
    <row r="278" spans="2:2" ht="12" customHeight="1">
      <c r="B278" s="524"/>
    </row>
    <row r="279" spans="2:2" ht="12" customHeight="1">
      <c r="B279" s="524"/>
    </row>
    <row r="280" spans="2:2" ht="12" customHeight="1">
      <c r="B280" s="524"/>
    </row>
    <row r="281" spans="2:2" ht="12" customHeight="1">
      <c r="B281" s="524"/>
    </row>
    <row r="282" spans="2:2" ht="12" customHeight="1">
      <c r="B282" s="524"/>
    </row>
    <row r="283" spans="2:2" ht="12" customHeight="1">
      <c r="B283" s="524"/>
    </row>
    <row r="284" spans="2:2" ht="12" customHeight="1">
      <c r="B284" s="524"/>
    </row>
    <row r="285" spans="2:2" ht="12" customHeight="1">
      <c r="B285" s="524"/>
    </row>
    <row r="286" spans="2:2" ht="12" customHeight="1">
      <c r="B286" s="524"/>
    </row>
    <row r="287" spans="2:2" ht="12" customHeight="1">
      <c r="B287" s="524"/>
    </row>
    <row r="288" spans="2:2" ht="12" customHeight="1">
      <c r="B288" s="524"/>
    </row>
    <row r="289" spans="2:2" ht="12" customHeight="1">
      <c r="B289" s="524"/>
    </row>
    <row r="290" spans="2:2" ht="12" customHeight="1">
      <c r="B290" s="524"/>
    </row>
    <row r="291" spans="2:2" ht="12" customHeight="1">
      <c r="B291" s="524"/>
    </row>
    <row r="292" spans="2:2" ht="12" customHeight="1">
      <c r="B292" s="524"/>
    </row>
    <row r="293" spans="2:2" ht="12" customHeight="1">
      <c r="B293" s="524"/>
    </row>
    <row r="294" spans="2:2" ht="12" customHeight="1">
      <c r="B294" s="524"/>
    </row>
    <row r="295" spans="2:2" ht="12" customHeight="1">
      <c r="B295" s="524"/>
    </row>
    <row r="296" spans="2:2" ht="12" customHeight="1">
      <c r="B296" s="524"/>
    </row>
    <row r="297" spans="2:2" ht="12" customHeight="1">
      <c r="B297" s="524"/>
    </row>
    <row r="298" spans="2:2" ht="12" customHeight="1">
      <c r="B298" s="524"/>
    </row>
    <row r="299" spans="2:2" ht="12" customHeight="1">
      <c r="B299" s="524"/>
    </row>
    <row r="300" spans="2:2" ht="12" customHeight="1">
      <c r="B300" s="524"/>
    </row>
    <row r="301" spans="2:2" ht="12" customHeight="1">
      <c r="B301" s="524"/>
    </row>
    <row r="302" spans="2:2" ht="12" customHeight="1">
      <c r="B302" s="524"/>
    </row>
    <row r="303" spans="2:2" ht="12" customHeight="1">
      <c r="B303" s="524"/>
    </row>
    <row r="304" spans="2:2" ht="12" customHeight="1">
      <c r="B304" s="524"/>
    </row>
    <row r="305" spans="2:2" ht="12" customHeight="1">
      <c r="B305" s="524"/>
    </row>
    <row r="306" spans="2:2" ht="12" customHeight="1">
      <c r="B306" s="524"/>
    </row>
    <row r="307" spans="2:2" ht="12" customHeight="1">
      <c r="B307" s="524"/>
    </row>
    <row r="308" spans="2:2" ht="12" customHeight="1">
      <c r="B308" s="524"/>
    </row>
    <row r="309" spans="2:2" ht="12" customHeight="1">
      <c r="B309" s="524"/>
    </row>
    <row r="310" spans="2:2" ht="12" customHeight="1">
      <c r="B310" s="524"/>
    </row>
    <row r="311" spans="2:2" ht="12" customHeight="1">
      <c r="B311" s="524"/>
    </row>
    <row r="312" spans="2:2" ht="12" customHeight="1">
      <c r="B312" s="524"/>
    </row>
    <row r="313" spans="2:2" ht="12" customHeight="1">
      <c r="B313" s="524"/>
    </row>
    <row r="314" spans="2:2" ht="12" customHeight="1">
      <c r="B314" s="524"/>
    </row>
    <row r="315" spans="2:2" ht="12" customHeight="1">
      <c r="B315" s="524"/>
    </row>
    <row r="316" spans="2:2" ht="12" customHeight="1">
      <c r="B316" s="524"/>
    </row>
    <row r="317" spans="2:2" ht="12" customHeight="1">
      <c r="B317" s="524"/>
    </row>
    <row r="318" spans="2:2" ht="12" customHeight="1">
      <c r="B318" s="524"/>
    </row>
    <row r="319" spans="2:2" ht="12" customHeight="1">
      <c r="B319" s="524"/>
    </row>
    <row r="320" spans="2:2" ht="12" customHeight="1">
      <c r="B320" s="524"/>
    </row>
    <row r="321" spans="2:2" ht="12" customHeight="1">
      <c r="B321" s="524"/>
    </row>
    <row r="322" spans="2:2" ht="12" customHeight="1">
      <c r="B322" s="524"/>
    </row>
    <row r="323" spans="2:2" ht="12" customHeight="1">
      <c r="B323" s="524"/>
    </row>
    <row r="324" spans="2:2" ht="12" customHeight="1">
      <c r="B324" s="524"/>
    </row>
    <row r="325" spans="2:2" ht="12" customHeight="1">
      <c r="B325" s="524"/>
    </row>
    <row r="326" spans="2:2" ht="12" customHeight="1">
      <c r="B326" s="524"/>
    </row>
    <row r="327" spans="2:2" ht="12" customHeight="1">
      <c r="B327" s="524"/>
    </row>
    <row r="328" spans="2:2" ht="12" customHeight="1">
      <c r="B328" s="524"/>
    </row>
    <row r="329" spans="2:2" ht="12" customHeight="1">
      <c r="B329" s="524"/>
    </row>
    <row r="330" spans="2:2" ht="12" customHeight="1">
      <c r="B330" s="524"/>
    </row>
    <row r="331" spans="2:2" ht="12" customHeight="1">
      <c r="B331" s="524"/>
    </row>
    <row r="332" spans="2:2" ht="12" customHeight="1">
      <c r="B332" s="524"/>
    </row>
    <row r="333" spans="2:2" ht="12" customHeight="1">
      <c r="B333" s="524"/>
    </row>
    <row r="334" spans="2:2" ht="12" customHeight="1">
      <c r="B334" s="524"/>
    </row>
    <row r="335" spans="2:2" ht="12" customHeight="1">
      <c r="B335" s="524"/>
    </row>
    <row r="336" spans="2:2" ht="12" customHeight="1">
      <c r="B336" s="524"/>
    </row>
    <row r="337" spans="2:2" ht="12" customHeight="1">
      <c r="B337" s="524"/>
    </row>
    <row r="338" spans="2:2" ht="12" customHeight="1">
      <c r="B338" s="524"/>
    </row>
    <row r="339" spans="2:2" ht="12" customHeight="1">
      <c r="B339" s="524"/>
    </row>
    <row r="340" spans="2:2" ht="12" customHeight="1">
      <c r="B340" s="524"/>
    </row>
    <row r="341" spans="2:2" ht="12" customHeight="1">
      <c r="B341" s="524"/>
    </row>
    <row r="342" spans="2:2" ht="12" customHeight="1">
      <c r="B342" s="524"/>
    </row>
    <row r="343" spans="2:2" ht="12" customHeight="1">
      <c r="B343" s="524"/>
    </row>
    <row r="344" spans="2:2" ht="12" customHeight="1">
      <c r="B344" s="524"/>
    </row>
    <row r="345" spans="2:2" ht="12" customHeight="1">
      <c r="B345" s="524"/>
    </row>
    <row r="346" spans="2:2" ht="12" customHeight="1">
      <c r="B346" s="524"/>
    </row>
    <row r="347" spans="2:2" ht="12" customHeight="1">
      <c r="B347" s="524"/>
    </row>
    <row r="348" spans="2:2" ht="12" customHeight="1">
      <c r="B348" s="524"/>
    </row>
    <row r="349" spans="2:2" ht="12" customHeight="1">
      <c r="B349" s="524"/>
    </row>
    <row r="350" spans="2:2" ht="12" customHeight="1">
      <c r="B350" s="524"/>
    </row>
    <row r="351" spans="2:2" ht="12" customHeight="1">
      <c r="B351" s="524"/>
    </row>
    <row r="352" spans="2:2" ht="12" customHeight="1">
      <c r="B352" s="524"/>
    </row>
    <row r="353" spans="2:2" ht="12" customHeight="1">
      <c r="B353" s="524"/>
    </row>
    <row r="354" spans="2:2" ht="12" customHeight="1">
      <c r="B354" s="524"/>
    </row>
    <row r="355" spans="2:2" ht="12" customHeight="1">
      <c r="B355" s="524"/>
    </row>
    <row r="356" spans="2:2" ht="12" customHeight="1">
      <c r="B356" s="524"/>
    </row>
    <row r="357" spans="2:2" ht="12" customHeight="1">
      <c r="B357" s="524"/>
    </row>
    <row r="358" spans="2:2" ht="12" customHeight="1">
      <c r="B358" s="524"/>
    </row>
    <row r="359" spans="2:2" ht="12" customHeight="1">
      <c r="B359" s="524"/>
    </row>
    <row r="360" spans="2:2" ht="12" customHeight="1">
      <c r="B360" s="524"/>
    </row>
    <row r="361" spans="2:2" ht="12" customHeight="1">
      <c r="B361" s="524"/>
    </row>
    <row r="362" spans="2:2" ht="12" customHeight="1">
      <c r="B362" s="524"/>
    </row>
    <row r="363" spans="2:2" ht="12" customHeight="1">
      <c r="B363" s="524"/>
    </row>
    <row r="364" spans="2:2" ht="12" customHeight="1">
      <c r="B364" s="524"/>
    </row>
    <row r="365" spans="2:2" ht="12" customHeight="1">
      <c r="B365" s="524"/>
    </row>
    <row r="366" spans="2:2" ht="12" customHeight="1">
      <c r="B366" s="524"/>
    </row>
    <row r="367" spans="2:2" ht="12" customHeight="1">
      <c r="B367" s="524"/>
    </row>
    <row r="368" spans="2:2" ht="12" customHeight="1">
      <c r="B368" s="524"/>
    </row>
    <row r="369" spans="2:2" ht="12" customHeight="1">
      <c r="B369" s="524"/>
    </row>
    <row r="370" spans="2:2" ht="12" customHeight="1">
      <c r="B370" s="524"/>
    </row>
    <row r="371" spans="2:2" ht="12" customHeight="1">
      <c r="B371" s="524"/>
    </row>
    <row r="372" spans="2:2" ht="12" customHeight="1">
      <c r="B372" s="524"/>
    </row>
    <row r="373" spans="2:2" ht="12" customHeight="1">
      <c r="B373" s="524"/>
    </row>
    <row r="374" spans="2:2" ht="12" customHeight="1">
      <c r="B374" s="524"/>
    </row>
    <row r="375" spans="2:2" ht="12" customHeight="1">
      <c r="B375" s="524"/>
    </row>
    <row r="376" spans="2:2" ht="12" customHeight="1">
      <c r="B376" s="524"/>
    </row>
    <row r="377" spans="2:2" ht="12" customHeight="1">
      <c r="B377" s="524"/>
    </row>
    <row r="378" spans="2:2" ht="12" customHeight="1">
      <c r="B378" s="524"/>
    </row>
    <row r="379" spans="2:2" ht="12" customHeight="1">
      <c r="B379" s="524"/>
    </row>
    <row r="380" spans="2:2" ht="12" customHeight="1">
      <c r="B380" s="524"/>
    </row>
    <row r="381" spans="2:2" ht="12" customHeight="1">
      <c r="B381" s="524"/>
    </row>
    <row r="382" spans="2:2" ht="12" customHeight="1">
      <c r="B382" s="524"/>
    </row>
    <row r="383" spans="2:2" ht="12" customHeight="1">
      <c r="B383" s="524"/>
    </row>
    <row r="384" spans="2:2" ht="12" customHeight="1">
      <c r="B384" s="524"/>
    </row>
    <row r="385" spans="2:2" ht="12" customHeight="1">
      <c r="B385" s="524"/>
    </row>
    <row r="386" spans="2:2" ht="12" customHeight="1">
      <c r="B386" s="524"/>
    </row>
    <row r="387" spans="2:2" ht="12" customHeight="1">
      <c r="B387" s="524"/>
    </row>
    <row r="388" spans="2:2" ht="12" customHeight="1">
      <c r="B388" s="524"/>
    </row>
    <row r="389" spans="2:2" ht="12" customHeight="1">
      <c r="B389" s="524"/>
    </row>
    <row r="390" spans="2:2" ht="12" customHeight="1">
      <c r="B390" s="524"/>
    </row>
    <row r="391" spans="2:2" ht="12" customHeight="1">
      <c r="B391" s="524"/>
    </row>
    <row r="392" spans="2:2" ht="12" customHeight="1">
      <c r="B392" s="524"/>
    </row>
    <row r="393" spans="2:2" ht="12" customHeight="1">
      <c r="B393" s="524"/>
    </row>
    <row r="394" spans="2:2" ht="12" customHeight="1">
      <c r="B394" s="524"/>
    </row>
    <row r="395" spans="2:2" ht="12" customHeight="1">
      <c r="B395" s="524"/>
    </row>
    <row r="396" spans="2:2" ht="12" customHeight="1">
      <c r="B396" s="524"/>
    </row>
    <row r="397" spans="2:2" ht="12" customHeight="1">
      <c r="B397" s="524"/>
    </row>
    <row r="398" spans="2:2" ht="12" customHeight="1">
      <c r="B398" s="524"/>
    </row>
    <row r="399" spans="2:2" ht="12" customHeight="1">
      <c r="B399" s="524"/>
    </row>
    <row r="400" spans="2:2" ht="12" customHeight="1">
      <c r="B400" s="524"/>
    </row>
    <row r="401" spans="2:2" ht="12" customHeight="1">
      <c r="B401" s="524"/>
    </row>
    <row r="402" spans="2:2" ht="12" customHeight="1">
      <c r="B402" s="524"/>
    </row>
    <row r="403" spans="2:2" ht="12" customHeight="1">
      <c r="B403" s="524"/>
    </row>
    <row r="404" spans="2:2" ht="12" customHeight="1">
      <c r="B404" s="524"/>
    </row>
    <row r="405" spans="2:2" ht="12" customHeight="1">
      <c r="B405" s="524"/>
    </row>
    <row r="406" spans="2:2" ht="12" customHeight="1">
      <c r="B406" s="524"/>
    </row>
    <row r="407" spans="2:2" ht="12" customHeight="1">
      <c r="B407" s="524"/>
    </row>
    <row r="408" spans="2:2" ht="12" customHeight="1">
      <c r="B408" s="524"/>
    </row>
    <row r="409" spans="2:2" ht="12" customHeight="1">
      <c r="B409" s="524"/>
    </row>
    <row r="410" spans="2:2" ht="12" customHeight="1">
      <c r="B410" s="524"/>
    </row>
    <row r="411" spans="2:2" ht="12" customHeight="1">
      <c r="B411" s="524"/>
    </row>
    <row r="412" spans="2:2" ht="12" customHeight="1">
      <c r="B412" s="524"/>
    </row>
    <row r="413" spans="2:2" ht="12" customHeight="1">
      <c r="B413" s="524"/>
    </row>
    <row r="414" spans="2:2" ht="12" customHeight="1">
      <c r="B414" s="524"/>
    </row>
    <row r="415" spans="2:2" ht="12" customHeight="1">
      <c r="B415" s="524"/>
    </row>
    <row r="416" spans="2:2" ht="12" customHeight="1">
      <c r="B416" s="524"/>
    </row>
    <row r="417" spans="2:2" ht="12" customHeight="1">
      <c r="B417" s="524"/>
    </row>
    <row r="418" spans="2:2" ht="12" customHeight="1">
      <c r="B418" s="524"/>
    </row>
    <row r="419" spans="2:2" ht="12" customHeight="1">
      <c r="B419" s="524"/>
    </row>
    <row r="420" spans="2:2" ht="12" customHeight="1">
      <c r="B420" s="524"/>
    </row>
    <row r="421" spans="2:2" ht="12" customHeight="1">
      <c r="B421" s="524"/>
    </row>
    <row r="422" spans="2:2" ht="12" customHeight="1">
      <c r="B422" s="524"/>
    </row>
    <row r="423" spans="2:2" ht="12" customHeight="1">
      <c r="B423" s="524"/>
    </row>
    <row r="424" spans="2:2" ht="12" customHeight="1">
      <c r="B424" s="524"/>
    </row>
    <row r="425" spans="2:2" ht="12" customHeight="1">
      <c r="B425" s="524"/>
    </row>
    <row r="426" spans="2:2" ht="12" customHeight="1">
      <c r="B426" s="524"/>
    </row>
    <row r="427" spans="2:2" ht="12" customHeight="1">
      <c r="B427" s="524"/>
    </row>
    <row r="428" spans="2:2" ht="12" customHeight="1">
      <c r="B428" s="524"/>
    </row>
    <row r="429" spans="2:2" ht="12" customHeight="1">
      <c r="B429" s="524"/>
    </row>
    <row r="430" spans="2:2" ht="12" customHeight="1">
      <c r="B430" s="524"/>
    </row>
    <row r="431" spans="2:2" ht="12" customHeight="1">
      <c r="B431" s="524"/>
    </row>
    <row r="432" spans="2:2" ht="12" customHeight="1">
      <c r="B432" s="524"/>
    </row>
    <row r="433" spans="2:2" ht="12" customHeight="1">
      <c r="B433" s="524"/>
    </row>
    <row r="434" spans="2:2" ht="12" customHeight="1">
      <c r="B434" s="524"/>
    </row>
    <row r="435" spans="2:2" ht="12" customHeight="1">
      <c r="B435" s="524"/>
    </row>
    <row r="436" spans="2:2" ht="12" customHeight="1">
      <c r="B436" s="524"/>
    </row>
    <row r="437" spans="2:2" ht="12" customHeight="1">
      <c r="B437" s="524"/>
    </row>
    <row r="438" spans="2:2" ht="12" customHeight="1">
      <c r="B438" s="524"/>
    </row>
    <row r="439" spans="2:2" ht="12" customHeight="1">
      <c r="B439" s="524"/>
    </row>
    <row r="440" spans="2:2" ht="12" customHeight="1">
      <c r="B440" s="524"/>
    </row>
    <row r="441" spans="2:2" ht="12" customHeight="1">
      <c r="B441" s="524"/>
    </row>
    <row r="442" spans="2:2" ht="12" customHeight="1">
      <c r="B442" s="524"/>
    </row>
    <row r="443" spans="2:2" ht="12" customHeight="1">
      <c r="B443" s="524"/>
    </row>
    <row r="444" spans="2:2" ht="12" customHeight="1">
      <c r="B444" s="524"/>
    </row>
    <row r="445" spans="2:2" ht="12" customHeight="1">
      <c r="B445" s="524"/>
    </row>
    <row r="446" spans="2:2" ht="12" customHeight="1">
      <c r="B446" s="524"/>
    </row>
    <row r="447" spans="2:2" ht="12" customHeight="1">
      <c r="B447" s="524"/>
    </row>
    <row r="448" spans="2:2" ht="12" customHeight="1">
      <c r="B448" s="524"/>
    </row>
    <row r="449" spans="2:2" ht="12" customHeight="1">
      <c r="B449" s="524"/>
    </row>
    <row r="450" spans="2:2" ht="12" customHeight="1">
      <c r="B450" s="524"/>
    </row>
    <row r="451" spans="2:2" ht="12" customHeight="1">
      <c r="B451" s="524"/>
    </row>
    <row r="452" spans="2:2" ht="12" customHeight="1">
      <c r="B452" s="524"/>
    </row>
    <row r="453" spans="2:2" ht="12" customHeight="1">
      <c r="B453" s="524"/>
    </row>
    <row r="454" spans="2:2" ht="12" customHeight="1">
      <c r="B454" s="524"/>
    </row>
    <row r="455" spans="2:2" ht="12" customHeight="1">
      <c r="B455" s="524"/>
    </row>
    <row r="456" spans="2:2" ht="12" customHeight="1">
      <c r="B456" s="524"/>
    </row>
    <row r="457" spans="2:2" ht="12" customHeight="1">
      <c r="B457" s="524"/>
    </row>
    <row r="458" spans="2:2" ht="12" customHeight="1">
      <c r="B458" s="524"/>
    </row>
    <row r="459" spans="2:2" ht="12" customHeight="1">
      <c r="B459" s="524"/>
    </row>
    <row r="460" spans="2:2" ht="12" customHeight="1">
      <c r="B460" s="524"/>
    </row>
    <row r="461" spans="2:2" ht="12" customHeight="1">
      <c r="B461" s="524"/>
    </row>
    <row r="462" spans="2:2" ht="12" customHeight="1">
      <c r="B462" s="524"/>
    </row>
    <row r="463" spans="2:2" ht="12" customHeight="1">
      <c r="B463" s="524"/>
    </row>
    <row r="464" spans="2:2" ht="12" customHeight="1">
      <c r="B464" s="524"/>
    </row>
    <row r="465" spans="2:2" ht="12" customHeight="1">
      <c r="B465" s="524"/>
    </row>
    <row r="466" spans="2:2" ht="12" customHeight="1">
      <c r="B466" s="524"/>
    </row>
    <row r="467" spans="2:2" ht="12" customHeight="1">
      <c r="B467" s="524"/>
    </row>
    <row r="468" spans="2:2" ht="12" customHeight="1">
      <c r="B468" s="524"/>
    </row>
    <row r="469" spans="2:2" ht="12" customHeight="1">
      <c r="B469" s="524"/>
    </row>
    <row r="470" spans="2:2" ht="12" customHeight="1">
      <c r="B470" s="524"/>
    </row>
    <row r="471" spans="2:2" ht="12" customHeight="1">
      <c r="B471" s="524"/>
    </row>
    <row r="472" spans="2:2" ht="12" customHeight="1">
      <c r="B472" s="524"/>
    </row>
    <row r="473" spans="2:2" ht="12" customHeight="1">
      <c r="B473" s="524"/>
    </row>
    <row r="474" spans="2:2" ht="12" customHeight="1">
      <c r="B474" s="524"/>
    </row>
    <row r="475" spans="2:2" ht="12" customHeight="1">
      <c r="B475" s="524"/>
    </row>
    <row r="476" spans="2:2" ht="12" customHeight="1">
      <c r="B476" s="524"/>
    </row>
    <row r="477" spans="2:2" ht="12" customHeight="1">
      <c r="B477" s="524"/>
    </row>
    <row r="478" spans="2:2" ht="12" customHeight="1">
      <c r="B478" s="524"/>
    </row>
    <row r="479" spans="2:2" ht="12" customHeight="1">
      <c r="B479" s="524"/>
    </row>
    <row r="480" spans="2:2" ht="12" customHeight="1">
      <c r="B480" s="524"/>
    </row>
    <row r="481" spans="2:2" ht="12" customHeight="1">
      <c r="B481" s="524"/>
    </row>
    <row r="482" spans="2:2" ht="12" customHeight="1">
      <c r="B482" s="524"/>
    </row>
    <row r="483" spans="2:2" ht="12" customHeight="1">
      <c r="B483" s="524"/>
    </row>
    <row r="484" spans="2:2" ht="12" customHeight="1">
      <c r="B484" s="524"/>
    </row>
    <row r="485" spans="2:2" ht="12" customHeight="1">
      <c r="B485" s="524"/>
    </row>
    <row r="486" spans="2:2" ht="12" customHeight="1">
      <c r="B486" s="524"/>
    </row>
    <row r="487" spans="2:2" ht="12" customHeight="1">
      <c r="B487" s="524"/>
    </row>
    <row r="488" spans="2:2" ht="12" customHeight="1">
      <c r="B488" s="524"/>
    </row>
    <row r="489" spans="2:2" ht="12" customHeight="1">
      <c r="B489" s="524"/>
    </row>
    <row r="490" spans="2:2" ht="12" customHeight="1">
      <c r="B490" s="524"/>
    </row>
    <row r="491" spans="2:2" ht="12" customHeight="1">
      <c r="B491" s="524"/>
    </row>
    <row r="492" spans="2:2" ht="12" customHeight="1">
      <c r="B492" s="524"/>
    </row>
    <row r="493" spans="2:2" ht="12" customHeight="1">
      <c r="B493" s="524"/>
    </row>
    <row r="494" spans="2:2" ht="12" customHeight="1">
      <c r="B494" s="524"/>
    </row>
    <row r="495" spans="2:2" ht="12" customHeight="1">
      <c r="B495" s="524"/>
    </row>
    <row r="496" spans="2:2" ht="12" customHeight="1">
      <c r="B496" s="524"/>
    </row>
    <row r="497" spans="2:2" ht="12" customHeight="1">
      <c r="B497" s="524"/>
    </row>
    <row r="498" spans="2:2" ht="12" customHeight="1">
      <c r="B498" s="524"/>
    </row>
    <row r="499" spans="2:2" ht="12" customHeight="1">
      <c r="B499" s="524"/>
    </row>
    <row r="500" spans="2:2" ht="12" customHeight="1">
      <c r="B500" s="524"/>
    </row>
    <row r="501" spans="2:2" ht="12" customHeight="1">
      <c r="B501" s="524"/>
    </row>
    <row r="502" spans="2:2" ht="12" customHeight="1">
      <c r="B502" s="524"/>
    </row>
    <row r="503" spans="2:2" ht="12" customHeight="1">
      <c r="B503" s="524"/>
    </row>
    <row r="504" spans="2:2" ht="12" customHeight="1">
      <c r="B504" s="524"/>
    </row>
    <row r="505" spans="2:2" ht="12" customHeight="1">
      <c r="B505" s="524"/>
    </row>
    <row r="506" spans="2:2" ht="12" customHeight="1">
      <c r="B506" s="524"/>
    </row>
    <row r="507" spans="2:2" ht="12" customHeight="1">
      <c r="B507" s="524"/>
    </row>
    <row r="508" spans="2:2" ht="12" customHeight="1">
      <c r="B508" s="524"/>
    </row>
    <row r="509" spans="2:2" ht="12" customHeight="1">
      <c r="B509" s="524"/>
    </row>
    <row r="510" spans="2:2" ht="12" customHeight="1">
      <c r="B510" s="524"/>
    </row>
    <row r="511" spans="2:2" ht="12" customHeight="1">
      <c r="B511" s="524"/>
    </row>
    <row r="512" spans="2:2" ht="12" customHeight="1">
      <c r="B512" s="524"/>
    </row>
    <row r="513" spans="2:2" ht="12" customHeight="1">
      <c r="B513" s="524"/>
    </row>
    <row r="514" spans="2:2" ht="12" customHeight="1">
      <c r="B514" s="524"/>
    </row>
    <row r="515" spans="2:2" ht="12" customHeight="1">
      <c r="B515" s="524"/>
    </row>
    <row r="516" spans="2:2" ht="12" customHeight="1">
      <c r="B516" s="524"/>
    </row>
    <row r="517" spans="2:2" ht="12" customHeight="1">
      <c r="B517" s="524"/>
    </row>
    <row r="518" spans="2:2" ht="12" customHeight="1">
      <c r="B518" s="524"/>
    </row>
    <row r="519" spans="2:2" ht="12" customHeight="1">
      <c r="B519" s="524"/>
    </row>
    <row r="520" spans="2:2" ht="12" customHeight="1">
      <c r="B520" s="524"/>
    </row>
    <row r="521" spans="2:2" ht="12" customHeight="1">
      <c r="B521" s="524"/>
    </row>
    <row r="522" spans="2:2" ht="12" customHeight="1">
      <c r="B522" s="524"/>
    </row>
    <row r="523" spans="2:2" ht="12" customHeight="1">
      <c r="B523" s="524"/>
    </row>
    <row r="524" spans="2:2" ht="12" customHeight="1">
      <c r="B524" s="524"/>
    </row>
    <row r="525" spans="2:2" ht="12" customHeight="1">
      <c r="B525" s="524"/>
    </row>
    <row r="526" spans="2:2" ht="12" customHeight="1">
      <c r="B526" s="524"/>
    </row>
    <row r="527" spans="2:2" ht="12" customHeight="1">
      <c r="B527" s="524"/>
    </row>
    <row r="528" spans="2:2" ht="12" customHeight="1">
      <c r="B528" s="524"/>
    </row>
    <row r="529" spans="2:2" ht="12" customHeight="1">
      <c r="B529" s="524"/>
    </row>
    <row r="530" spans="2:2" ht="12" customHeight="1">
      <c r="B530" s="524"/>
    </row>
    <row r="531" spans="2:2" ht="12" customHeight="1">
      <c r="B531" s="524"/>
    </row>
    <row r="532" spans="2:2" ht="12" customHeight="1">
      <c r="B532" s="524"/>
    </row>
    <row r="533" spans="2:2" ht="12" customHeight="1">
      <c r="B533" s="524"/>
    </row>
    <row r="534" spans="2:2" ht="12" customHeight="1">
      <c r="B534" s="524"/>
    </row>
    <row r="535" spans="2:2" ht="12" customHeight="1">
      <c r="B535" s="524"/>
    </row>
    <row r="536" spans="2:2" ht="12" customHeight="1">
      <c r="B536" s="524"/>
    </row>
    <row r="537" spans="2:2" ht="12" customHeight="1">
      <c r="B537" s="524"/>
    </row>
    <row r="538" spans="2:2" ht="12" customHeight="1">
      <c r="B538" s="524"/>
    </row>
    <row r="539" spans="2:2" ht="12" customHeight="1">
      <c r="B539" s="524"/>
    </row>
    <row r="540" spans="2:2" ht="12" customHeight="1">
      <c r="B540" s="524"/>
    </row>
    <row r="541" spans="2:2" ht="12" customHeight="1">
      <c r="B541" s="524"/>
    </row>
    <row r="542" spans="2:2" ht="12" customHeight="1">
      <c r="B542" s="524"/>
    </row>
    <row r="543" spans="2:2" ht="12" customHeight="1">
      <c r="B543" s="524"/>
    </row>
    <row r="544" spans="2:2" ht="12" customHeight="1">
      <c r="B544" s="524"/>
    </row>
    <row r="545" spans="2:2" ht="12" customHeight="1">
      <c r="B545" s="524"/>
    </row>
    <row r="546" spans="2:2" ht="12" customHeight="1">
      <c r="B546" s="524"/>
    </row>
    <row r="547" spans="2:2" ht="12" customHeight="1">
      <c r="B547" s="524"/>
    </row>
    <row r="548" spans="2:2" ht="12" customHeight="1">
      <c r="B548" s="524"/>
    </row>
    <row r="549" spans="2:2" ht="12" customHeight="1">
      <c r="B549" s="524"/>
    </row>
    <row r="550" spans="2:2" ht="12" customHeight="1">
      <c r="B550" s="524"/>
    </row>
    <row r="551" spans="2:2" ht="12" customHeight="1">
      <c r="B551" s="524"/>
    </row>
    <row r="552" spans="2:2" ht="12" customHeight="1">
      <c r="B552" s="524"/>
    </row>
    <row r="553" spans="2:2" ht="12" customHeight="1">
      <c r="B553" s="524"/>
    </row>
    <row r="554" spans="2:2" ht="12" customHeight="1">
      <c r="B554" s="524"/>
    </row>
    <row r="555" spans="2:2" ht="12" customHeight="1">
      <c r="B555" s="524"/>
    </row>
    <row r="556" spans="2:2" ht="12" customHeight="1">
      <c r="B556" s="524"/>
    </row>
    <row r="557" spans="2:2" ht="12" customHeight="1">
      <c r="B557" s="524"/>
    </row>
    <row r="558" spans="2:2" ht="12" customHeight="1">
      <c r="B558" s="524"/>
    </row>
    <row r="559" spans="2:2" ht="12" customHeight="1">
      <c r="B559" s="524"/>
    </row>
    <row r="560" spans="2:2" ht="12" customHeight="1">
      <c r="B560" s="524"/>
    </row>
    <row r="561" spans="2:2" ht="12" customHeight="1">
      <c r="B561" s="524"/>
    </row>
    <row r="562" spans="2:2" ht="12" customHeight="1">
      <c r="B562" s="524"/>
    </row>
    <row r="563" spans="2:2" ht="12" customHeight="1">
      <c r="B563" s="524"/>
    </row>
    <row r="564" spans="2:2" ht="12" customHeight="1">
      <c r="B564" s="524"/>
    </row>
    <row r="565" spans="2:2" ht="12" customHeight="1">
      <c r="B565" s="524"/>
    </row>
    <row r="566" spans="2:2" ht="12" customHeight="1">
      <c r="B566" s="524"/>
    </row>
    <row r="567" spans="2:2" ht="12" customHeight="1">
      <c r="B567" s="524"/>
    </row>
    <row r="568" spans="2:2" ht="12" customHeight="1">
      <c r="B568" s="524"/>
    </row>
    <row r="569" spans="2:2" ht="12" customHeight="1">
      <c r="B569" s="524"/>
    </row>
    <row r="570" spans="2:2" ht="12" customHeight="1">
      <c r="B570" s="524"/>
    </row>
    <row r="571" spans="2:2" ht="12" customHeight="1">
      <c r="B571" s="524"/>
    </row>
    <row r="572" spans="2:2" ht="12" customHeight="1">
      <c r="B572" s="524"/>
    </row>
    <row r="573" spans="2:2" ht="12" customHeight="1">
      <c r="B573" s="524"/>
    </row>
    <row r="574" spans="2:2" ht="12" customHeight="1">
      <c r="B574" s="524"/>
    </row>
    <row r="575" spans="2:2" ht="12" customHeight="1">
      <c r="B575" s="524"/>
    </row>
    <row r="576" spans="2:2" ht="12" customHeight="1">
      <c r="B576" s="524"/>
    </row>
    <row r="577" spans="2:2" ht="12" customHeight="1">
      <c r="B577" s="524"/>
    </row>
    <row r="578" spans="2:2" ht="12" customHeight="1">
      <c r="B578" s="524"/>
    </row>
    <row r="579" spans="2:2" ht="12" customHeight="1">
      <c r="B579" s="524"/>
    </row>
    <row r="580" spans="2:2" ht="12" customHeight="1">
      <c r="B580" s="524"/>
    </row>
    <row r="581" spans="2:2" ht="12" customHeight="1">
      <c r="B581" s="524"/>
    </row>
    <row r="582" spans="2:2" ht="12" customHeight="1">
      <c r="B582" s="524"/>
    </row>
    <row r="583" spans="2:2" ht="12" customHeight="1">
      <c r="B583" s="524"/>
    </row>
    <row r="584" spans="2:2" ht="12" customHeight="1">
      <c r="B584" s="524"/>
    </row>
    <row r="585" spans="2:2" ht="12" customHeight="1">
      <c r="B585" s="524"/>
    </row>
    <row r="586" spans="2:2" ht="12" customHeight="1">
      <c r="B586" s="524"/>
    </row>
    <row r="587" spans="2:2" ht="12" customHeight="1">
      <c r="B587" s="524"/>
    </row>
    <row r="588" spans="2:2" ht="12" customHeight="1">
      <c r="B588" s="524"/>
    </row>
    <row r="589" spans="2:2" ht="12" customHeight="1">
      <c r="B589" s="524"/>
    </row>
    <row r="590" spans="2:2" ht="12" customHeight="1">
      <c r="B590" s="524"/>
    </row>
    <row r="591" spans="2:2" ht="12" customHeight="1">
      <c r="B591" s="524"/>
    </row>
    <row r="592" spans="2:2" ht="12" customHeight="1">
      <c r="B592" s="524"/>
    </row>
    <row r="593" spans="2:2" ht="12" customHeight="1">
      <c r="B593" s="524"/>
    </row>
    <row r="594" spans="2:2" ht="12" customHeight="1">
      <c r="B594" s="524"/>
    </row>
    <row r="595" spans="2:2" ht="12" customHeight="1">
      <c r="B595" s="524"/>
    </row>
    <row r="596" spans="2:2" ht="12" customHeight="1">
      <c r="B596" s="524"/>
    </row>
    <row r="597" spans="2:2" ht="12" customHeight="1">
      <c r="B597" s="524"/>
    </row>
    <row r="598" spans="2:2" ht="12" customHeight="1">
      <c r="B598" s="524"/>
    </row>
    <row r="599" spans="2:2" ht="12" customHeight="1">
      <c r="B599" s="524"/>
    </row>
    <row r="600" spans="2:2" ht="12" customHeight="1">
      <c r="B600" s="524"/>
    </row>
    <row r="601" spans="2:2" ht="12" customHeight="1">
      <c r="B601" s="524"/>
    </row>
    <row r="602" spans="2:2" ht="12" customHeight="1">
      <c r="B602" s="524"/>
    </row>
    <row r="603" spans="2:2" ht="12" customHeight="1">
      <c r="B603" s="524"/>
    </row>
    <row r="604" spans="2:2" ht="12" customHeight="1">
      <c r="B604" s="524"/>
    </row>
    <row r="605" spans="2:2" ht="12" customHeight="1">
      <c r="B605" s="524"/>
    </row>
    <row r="606" spans="2:2" ht="12" customHeight="1">
      <c r="B606" s="524"/>
    </row>
    <row r="607" spans="2:2" ht="12" customHeight="1">
      <c r="B607" s="524"/>
    </row>
    <row r="608" spans="2:2" ht="12" customHeight="1">
      <c r="B608" s="524"/>
    </row>
    <row r="609" spans="2:2" ht="12" customHeight="1">
      <c r="B609" s="524"/>
    </row>
    <row r="610" spans="2:2" ht="12" customHeight="1">
      <c r="B610" s="524"/>
    </row>
    <row r="611" spans="2:2" ht="12" customHeight="1">
      <c r="B611" s="524"/>
    </row>
    <row r="612" spans="2:2" ht="12" customHeight="1">
      <c r="B612" s="524"/>
    </row>
    <row r="613" spans="2:2" ht="12" customHeight="1">
      <c r="B613" s="524"/>
    </row>
    <row r="614" spans="2:2" ht="12" customHeight="1">
      <c r="B614" s="524"/>
    </row>
    <row r="615" spans="2:2" ht="12" customHeight="1">
      <c r="B615" s="524"/>
    </row>
    <row r="616" spans="2:2" ht="12" customHeight="1">
      <c r="B616" s="524"/>
    </row>
    <row r="617" spans="2:2" ht="12" customHeight="1">
      <c r="B617" s="524"/>
    </row>
    <row r="618" spans="2:2" ht="12" customHeight="1">
      <c r="B618" s="524"/>
    </row>
    <row r="619" spans="2:2" ht="12" customHeight="1">
      <c r="B619" s="524"/>
    </row>
    <row r="620" spans="2:2" ht="12" customHeight="1">
      <c r="B620" s="524"/>
    </row>
    <row r="621" spans="2:2" ht="12" customHeight="1">
      <c r="B621" s="524"/>
    </row>
    <row r="622" spans="2:2" ht="12" customHeight="1">
      <c r="B622" s="524"/>
    </row>
    <row r="623" spans="2:2" ht="12" customHeight="1">
      <c r="B623" s="524"/>
    </row>
    <row r="624" spans="2:2" ht="12" customHeight="1">
      <c r="B624" s="524"/>
    </row>
    <row r="625" spans="2:2" ht="12" customHeight="1">
      <c r="B625" s="524"/>
    </row>
    <row r="626" spans="2:2" ht="12" customHeight="1">
      <c r="B626" s="524"/>
    </row>
    <row r="627" spans="2:2" ht="12" customHeight="1">
      <c r="B627" s="524"/>
    </row>
    <row r="628" spans="2:2" ht="12" customHeight="1">
      <c r="B628" s="524"/>
    </row>
    <row r="629" spans="2:2" ht="12" customHeight="1">
      <c r="B629" s="524"/>
    </row>
    <row r="630" spans="2:2" ht="12" customHeight="1">
      <c r="B630" s="524"/>
    </row>
    <row r="631" spans="2:2" ht="12" customHeight="1">
      <c r="B631" s="524"/>
    </row>
    <row r="632" spans="2:2" ht="12" customHeight="1">
      <c r="B632" s="524"/>
    </row>
    <row r="633" spans="2:2" ht="12" customHeight="1">
      <c r="B633" s="524"/>
    </row>
    <row r="634" spans="2:2" ht="12" customHeight="1">
      <c r="B634" s="524"/>
    </row>
    <row r="635" spans="2:2" ht="12" customHeight="1">
      <c r="B635" s="524"/>
    </row>
    <row r="636" spans="2:2" ht="12" customHeight="1">
      <c r="B636" s="524"/>
    </row>
    <row r="637" spans="2:2" ht="12" customHeight="1">
      <c r="B637" s="524"/>
    </row>
    <row r="638" spans="2:2" ht="12" customHeight="1">
      <c r="B638" s="524"/>
    </row>
    <row r="639" spans="2:2" ht="12" customHeight="1">
      <c r="B639" s="524"/>
    </row>
    <row r="640" spans="2:2" ht="12" customHeight="1">
      <c r="B640" s="524"/>
    </row>
    <row r="641" spans="2:2" ht="12" customHeight="1">
      <c r="B641" s="524"/>
    </row>
    <row r="642" spans="2:2" ht="12" customHeight="1">
      <c r="B642" s="524"/>
    </row>
    <row r="643" spans="2:2" ht="12" customHeight="1">
      <c r="B643" s="524"/>
    </row>
    <row r="644" spans="2:2" ht="12" customHeight="1">
      <c r="B644" s="524"/>
    </row>
    <row r="645" spans="2:2" ht="12" customHeight="1">
      <c r="B645" s="524"/>
    </row>
    <row r="646" spans="2:2" ht="12" customHeight="1">
      <c r="B646" s="524"/>
    </row>
    <row r="647" spans="2:2" ht="12" customHeight="1">
      <c r="B647" s="524"/>
    </row>
    <row r="648" spans="2:2" ht="12" customHeight="1">
      <c r="B648" s="524"/>
    </row>
    <row r="649" spans="2:2" ht="12" customHeight="1">
      <c r="B649" s="524"/>
    </row>
    <row r="650" spans="2:2" ht="12" customHeight="1">
      <c r="B650" s="524"/>
    </row>
    <row r="651" spans="2:2" ht="12" customHeight="1">
      <c r="B651" s="524"/>
    </row>
    <row r="652" spans="2:2" ht="12" customHeight="1">
      <c r="B652" s="524"/>
    </row>
    <row r="653" spans="2:2" ht="12" customHeight="1">
      <c r="B653" s="524"/>
    </row>
    <row r="654" spans="2:2" ht="12" customHeight="1">
      <c r="B654" s="524"/>
    </row>
    <row r="655" spans="2:2" ht="12" customHeight="1">
      <c r="B655" s="524"/>
    </row>
    <row r="656" spans="2:2" ht="12" customHeight="1">
      <c r="B656" s="524"/>
    </row>
    <row r="657" spans="2:2" ht="12" customHeight="1">
      <c r="B657" s="524"/>
    </row>
    <row r="658" spans="2:2" ht="12" customHeight="1">
      <c r="B658" s="524"/>
    </row>
    <row r="659" spans="2:2" ht="12" customHeight="1">
      <c r="B659" s="524"/>
    </row>
    <row r="660" spans="2:2" ht="12" customHeight="1">
      <c r="B660" s="524"/>
    </row>
    <row r="661" spans="2:2" ht="12" customHeight="1">
      <c r="B661" s="524"/>
    </row>
    <row r="662" spans="2:2" ht="12" customHeight="1">
      <c r="B662" s="524"/>
    </row>
    <row r="663" spans="2:2" ht="12" customHeight="1">
      <c r="B663" s="524"/>
    </row>
    <row r="664" spans="2:2" ht="12" customHeight="1">
      <c r="B664" s="524"/>
    </row>
    <row r="665" spans="2:2" ht="12" customHeight="1">
      <c r="B665" s="524"/>
    </row>
    <row r="666" spans="2:2" ht="12" customHeight="1">
      <c r="B666" s="524"/>
    </row>
    <row r="667" spans="2:2" ht="12" customHeight="1">
      <c r="B667" s="524"/>
    </row>
    <row r="668" spans="2:2" ht="12" customHeight="1">
      <c r="B668" s="524"/>
    </row>
    <row r="669" spans="2:2" ht="12" customHeight="1">
      <c r="B669" s="524"/>
    </row>
    <row r="670" spans="2:2" ht="12" customHeight="1">
      <c r="B670" s="524"/>
    </row>
    <row r="671" spans="2:2" ht="12" customHeight="1">
      <c r="B671" s="524"/>
    </row>
    <row r="672" spans="2:2" ht="12" customHeight="1">
      <c r="B672" s="524"/>
    </row>
    <row r="673" spans="2:2" ht="12" customHeight="1">
      <c r="B673" s="524"/>
    </row>
    <row r="674" spans="2:2" ht="12" customHeight="1">
      <c r="B674" s="524"/>
    </row>
    <row r="675" spans="2:2" ht="12" customHeight="1">
      <c r="B675" s="524"/>
    </row>
    <row r="676" spans="2:2" ht="12" customHeight="1">
      <c r="B676" s="524"/>
    </row>
    <row r="677" spans="2:2" ht="12" customHeight="1">
      <c r="B677" s="524"/>
    </row>
    <row r="678" spans="2:2" ht="12" customHeight="1">
      <c r="B678" s="524"/>
    </row>
    <row r="679" spans="2:2" ht="12" customHeight="1">
      <c r="B679" s="524"/>
    </row>
    <row r="680" spans="2:2" ht="12" customHeight="1">
      <c r="B680" s="524"/>
    </row>
    <row r="681" spans="2:2" ht="12" customHeight="1">
      <c r="B681" s="524"/>
    </row>
    <row r="682" spans="2:2" ht="12" customHeight="1">
      <c r="B682" s="524"/>
    </row>
    <row r="683" spans="2:2" ht="12" customHeight="1">
      <c r="B683" s="524"/>
    </row>
    <row r="684" spans="2:2" ht="12" customHeight="1">
      <c r="B684" s="524"/>
    </row>
    <row r="685" spans="2:2" ht="12" customHeight="1">
      <c r="B685" s="524"/>
    </row>
    <row r="686" spans="2:2" ht="12" customHeight="1">
      <c r="B686" s="524"/>
    </row>
    <row r="687" spans="2:2" ht="12" customHeight="1">
      <c r="B687" s="524"/>
    </row>
    <row r="688" spans="2:2" ht="12" customHeight="1">
      <c r="B688" s="524"/>
    </row>
    <row r="689" spans="2:2" ht="12" customHeight="1">
      <c r="B689" s="524"/>
    </row>
    <row r="690" spans="2:2" ht="12" customHeight="1">
      <c r="B690" s="524"/>
    </row>
    <row r="691" spans="2:2" ht="12" customHeight="1">
      <c r="B691" s="524"/>
    </row>
    <row r="692" spans="2:2" ht="12" customHeight="1">
      <c r="B692" s="524"/>
    </row>
    <row r="693" spans="2:2" ht="12" customHeight="1">
      <c r="B693" s="524"/>
    </row>
    <row r="694" spans="2:2" ht="12" customHeight="1">
      <c r="B694" s="524"/>
    </row>
    <row r="695" spans="2:2" ht="12" customHeight="1">
      <c r="B695" s="524"/>
    </row>
    <row r="696" spans="2:2" ht="12" customHeight="1">
      <c r="B696" s="524"/>
    </row>
    <row r="697" spans="2:2" ht="12" customHeight="1">
      <c r="B697" s="524"/>
    </row>
    <row r="698" spans="2:2" ht="12" customHeight="1">
      <c r="B698" s="524"/>
    </row>
    <row r="699" spans="2:2" ht="12" customHeight="1">
      <c r="B699" s="524"/>
    </row>
    <row r="700" spans="2:2" ht="12" customHeight="1">
      <c r="B700" s="524"/>
    </row>
    <row r="701" spans="2:2" ht="12" customHeight="1">
      <c r="B701" s="524"/>
    </row>
    <row r="702" spans="2:2" ht="12" customHeight="1">
      <c r="B702" s="524"/>
    </row>
    <row r="703" spans="2:2" ht="12" customHeight="1">
      <c r="B703" s="524"/>
    </row>
    <row r="704" spans="2:2" ht="12" customHeight="1">
      <c r="B704" s="524"/>
    </row>
    <row r="705" spans="2:2" ht="12" customHeight="1">
      <c r="B705" s="524"/>
    </row>
    <row r="706" spans="2:2" ht="12" customHeight="1">
      <c r="B706" s="524"/>
    </row>
    <row r="707" spans="2:2" ht="12" customHeight="1">
      <c r="B707" s="524"/>
    </row>
    <row r="708" spans="2:2" ht="12" customHeight="1">
      <c r="B708" s="524"/>
    </row>
    <row r="709" spans="2:2" ht="12" customHeight="1">
      <c r="B709" s="524"/>
    </row>
    <row r="710" spans="2:2" ht="12" customHeight="1">
      <c r="B710" s="524"/>
    </row>
    <row r="711" spans="2:2" ht="12" customHeight="1">
      <c r="B711" s="524"/>
    </row>
    <row r="712" spans="2:2" ht="12" customHeight="1">
      <c r="B712" s="524"/>
    </row>
    <row r="713" spans="2:2" ht="12" customHeight="1">
      <c r="B713" s="524"/>
    </row>
    <row r="714" spans="2:2" ht="12" customHeight="1">
      <c r="B714" s="524"/>
    </row>
    <row r="715" spans="2:2" ht="12" customHeight="1">
      <c r="B715" s="524"/>
    </row>
    <row r="716" spans="2:2" ht="12" customHeight="1">
      <c r="B716" s="524"/>
    </row>
    <row r="717" spans="2:2" ht="12" customHeight="1">
      <c r="B717" s="524"/>
    </row>
    <row r="718" spans="2:2" ht="12" customHeight="1">
      <c r="B718" s="524"/>
    </row>
    <row r="719" spans="2:2" ht="12" customHeight="1">
      <c r="B719" s="524"/>
    </row>
    <row r="720" spans="2:2" ht="12" customHeight="1">
      <c r="B720" s="524"/>
    </row>
    <row r="721" spans="2:2" ht="12" customHeight="1">
      <c r="B721" s="524"/>
    </row>
    <row r="722" spans="2:2" ht="12" customHeight="1">
      <c r="B722" s="524"/>
    </row>
    <row r="723" spans="2:2" ht="12" customHeight="1">
      <c r="B723" s="524"/>
    </row>
    <row r="724" spans="2:2" ht="12" customHeight="1">
      <c r="B724" s="524"/>
    </row>
    <row r="725" spans="2:2" ht="12" customHeight="1">
      <c r="B725" s="524"/>
    </row>
    <row r="726" spans="2:2" ht="12" customHeight="1">
      <c r="B726" s="524"/>
    </row>
    <row r="727" spans="2:2" ht="12" customHeight="1">
      <c r="B727" s="524"/>
    </row>
    <row r="728" spans="2:2" ht="12" customHeight="1">
      <c r="B728" s="524"/>
    </row>
    <row r="729" spans="2:2" ht="12" customHeight="1">
      <c r="B729" s="524"/>
    </row>
    <row r="730" spans="2:2" ht="12" customHeight="1">
      <c r="B730" s="524"/>
    </row>
    <row r="731" spans="2:2" ht="12" customHeight="1">
      <c r="B731" s="524"/>
    </row>
    <row r="732" spans="2:2" ht="12" customHeight="1">
      <c r="B732" s="524"/>
    </row>
    <row r="733" spans="2:2" ht="12" customHeight="1">
      <c r="B733" s="524"/>
    </row>
    <row r="734" spans="2:2" ht="12" customHeight="1">
      <c r="B734" s="524"/>
    </row>
    <row r="735" spans="2:2" ht="12" customHeight="1">
      <c r="B735" s="524"/>
    </row>
    <row r="736" spans="2:2" ht="12" customHeight="1">
      <c r="B736" s="524"/>
    </row>
    <row r="737" spans="2:2" ht="12" customHeight="1">
      <c r="B737" s="524"/>
    </row>
    <row r="738" spans="2:2" ht="12" customHeight="1">
      <c r="B738" s="524"/>
    </row>
    <row r="739" spans="2:2" ht="12" customHeight="1">
      <c r="B739" s="524"/>
    </row>
    <row r="740" spans="2:2" ht="12" customHeight="1">
      <c r="B740" s="524"/>
    </row>
    <row r="741" spans="2:2" ht="12" customHeight="1">
      <c r="B741" s="524"/>
    </row>
    <row r="742" spans="2:2" ht="12" customHeight="1">
      <c r="B742" s="524"/>
    </row>
    <row r="743" spans="2:2" ht="12" customHeight="1">
      <c r="B743" s="524"/>
    </row>
    <row r="744" spans="2:2" ht="12" customHeight="1">
      <c r="B744" s="524"/>
    </row>
    <row r="745" spans="2:2" ht="12" customHeight="1">
      <c r="B745" s="524"/>
    </row>
    <row r="746" spans="2:2" ht="12" customHeight="1">
      <c r="B746" s="524"/>
    </row>
    <row r="747" spans="2:2" ht="12" customHeight="1">
      <c r="B747" s="524"/>
    </row>
    <row r="748" spans="2:2" ht="12" customHeight="1">
      <c r="B748" s="524"/>
    </row>
    <row r="749" spans="2:2" ht="12" customHeight="1">
      <c r="B749" s="524"/>
    </row>
    <row r="750" spans="2:2" ht="12" customHeight="1">
      <c r="B750" s="524"/>
    </row>
    <row r="751" spans="2:2" ht="12" customHeight="1">
      <c r="B751" s="524"/>
    </row>
    <row r="752" spans="2:2" ht="12" customHeight="1">
      <c r="B752" s="524"/>
    </row>
    <row r="753" spans="2:2" ht="12" customHeight="1">
      <c r="B753" s="524"/>
    </row>
    <row r="754" spans="2:2" ht="12" customHeight="1">
      <c r="B754" s="524"/>
    </row>
    <row r="755" spans="2:2" ht="12" customHeight="1">
      <c r="B755" s="524"/>
    </row>
    <row r="756" spans="2:2" ht="12" customHeight="1">
      <c r="B756" s="524"/>
    </row>
    <row r="757" spans="2:2" ht="12" customHeight="1">
      <c r="B757" s="524"/>
    </row>
    <row r="758" spans="2:2" ht="12" customHeight="1">
      <c r="B758" s="524"/>
    </row>
    <row r="759" spans="2:2" ht="12" customHeight="1">
      <c r="B759" s="524"/>
    </row>
    <row r="760" spans="2:2" ht="12" customHeight="1">
      <c r="B760" s="524"/>
    </row>
    <row r="761" spans="2:2" ht="12" customHeight="1">
      <c r="B761" s="524"/>
    </row>
    <row r="762" spans="2:2" ht="12" customHeight="1">
      <c r="B762" s="524"/>
    </row>
    <row r="763" spans="2:2" ht="12" customHeight="1">
      <c r="B763" s="524"/>
    </row>
    <row r="764" spans="2:2" ht="12" customHeight="1">
      <c r="B764" s="524"/>
    </row>
    <row r="765" spans="2:2" ht="12" customHeight="1">
      <c r="B765" s="524"/>
    </row>
    <row r="766" spans="2:2" ht="12" customHeight="1">
      <c r="B766" s="524"/>
    </row>
    <row r="767" spans="2:2" ht="12" customHeight="1">
      <c r="B767" s="524"/>
    </row>
    <row r="768" spans="2:2" ht="12" customHeight="1">
      <c r="B768" s="524"/>
    </row>
    <row r="769" spans="2:2" ht="12" customHeight="1">
      <c r="B769" s="524"/>
    </row>
    <row r="770" spans="2:2" ht="12" customHeight="1">
      <c r="B770" s="524"/>
    </row>
    <row r="771" spans="2:2" ht="12" customHeight="1">
      <c r="B771" s="524"/>
    </row>
    <row r="772" spans="2:2" ht="12" customHeight="1">
      <c r="B772" s="524"/>
    </row>
    <row r="773" spans="2:2" ht="12" customHeight="1">
      <c r="B773" s="524"/>
    </row>
    <row r="774" spans="2:2" ht="12" customHeight="1">
      <c r="B774" s="524"/>
    </row>
    <row r="775" spans="2:2" ht="12" customHeight="1">
      <c r="B775" s="524"/>
    </row>
    <row r="776" spans="2:2" ht="12" customHeight="1">
      <c r="B776" s="524"/>
    </row>
    <row r="777" spans="2:2" ht="12" customHeight="1">
      <c r="B777" s="524"/>
    </row>
    <row r="778" spans="2:2" ht="12" customHeight="1">
      <c r="B778" s="524"/>
    </row>
    <row r="779" spans="2:2" ht="12" customHeight="1">
      <c r="B779" s="524"/>
    </row>
    <row r="780" spans="2:2" ht="12" customHeight="1">
      <c r="B780" s="524"/>
    </row>
    <row r="781" spans="2:2" ht="12" customHeight="1">
      <c r="B781" s="524"/>
    </row>
    <row r="782" spans="2:2" ht="12" customHeight="1">
      <c r="B782" s="524"/>
    </row>
    <row r="783" spans="2:2" ht="12" customHeight="1">
      <c r="B783" s="524"/>
    </row>
    <row r="784" spans="2:2" ht="12" customHeight="1">
      <c r="B784" s="524"/>
    </row>
    <row r="785" spans="2:2" ht="12" customHeight="1">
      <c r="B785" s="524"/>
    </row>
    <row r="786" spans="2:2" ht="12" customHeight="1">
      <c r="B786" s="524"/>
    </row>
    <row r="787" spans="2:2" ht="12" customHeight="1">
      <c r="B787" s="524"/>
    </row>
    <row r="788" spans="2:2" ht="12" customHeight="1">
      <c r="B788" s="524"/>
    </row>
    <row r="789" spans="2:2" ht="12" customHeight="1">
      <c r="B789" s="524"/>
    </row>
    <row r="790" spans="2:2" ht="12" customHeight="1">
      <c r="B790" s="524"/>
    </row>
    <row r="791" spans="2:2" ht="12" customHeight="1">
      <c r="B791" s="524"/>
    </row>
    <row r="792" spans="2:2" ht="12" customHeight="1">
      <c r="B792" s="524"/>
    </row>
    <row r="793" spans="2:2" ht="12" customHeight="1">
      <c r="B793" s="524"/>
    </row>
    <row r="794" spans="2:2" ht="12" customHeight="1">
      <c r="B794" s="524"/>
    </row>
    <row r="795" spans="2:2" ht="12" customHeight="1">
      <c r="B795" s="524"/>
    </row>
    <row r="796" spans="2:2" ht="12" customHeight="1">
      <c r="B796" s="524"/>
    </row>
    <row r="797" spans="2:2" ht="12" customHeight="1">
      <c r="B797" s="524"/>
    </row>
    <row r="798" spans="2:2" ht="12" customHeight="1">
      <c r="B798" s="524"/>
    </row>
    <row r="799" spans="2:2" ht="12" customHeight="1">
      <c r="B799" s="524"/>
    </row>
    <row r="800" spans="2:2" ht="12" customHeight="1">
      <c r="B800" s="524"/>
    </row>
    <row r="801" spans="2:2" ht="12" customHeight="1">
      <c r="B801" s="524"/>
    </row>
    <row r="802" spans="2:2" ht="12" customHeight="1">
      <c r="B802" s="524"/>
    </row>
    <row r="803" spans="2:2" ht="12" customHeight="1">
      <c r="B803" s="524"/>
    </row>
    <row r="804" spans="2:2" ht="12" customHeight="1">
      <c r="B804" s="524"/>
    </row>
    <row r="805" spans="2:2" ht="12" customHeight="1">
      <c r="B805" s="524"/>
    </row>
    <row r="806" spans="2:2" ht="12" customHeight="1">
      <c r="B806" s="524"/>
    </row>
    <row r="807" spans="2:2" ht="12" customHeight="1">
      <c r="B807" s="524"/>
    </row>
    <row r="808" spans="2:2" ht="12" customHeight="1">
      <c r="B808" s="524"/>
    </row>
    <row r="809" spans="2:2" ht="12" customHeight="1">
      <c r="B809" s="524"/>
    </row>
    <row r="810" spans="2:2" ht="12" customHeight="1">
      <c r="B810" s="524"/>
    </row>
    <row r="811" spans="2:2" ht="12" customHeight="1">
      <c r="B811" s="524"/>
    </row>
    <row r="812" spans="2:2" ht="12" customHeight="1">
      <c r="B812" s="524"/>
    </row>
    <row r="813" spans="2:2" ht="12" customHeight="1">
      <c r="B813" s="524"/>
    </row>
    <row r="814" spans="2:2" ht="12" customHeight="1">
      <c r="B814" s="524"/>
    </row>
    <row r="815" spans="2:2" ht="12" customHeight="1">
      <c r="B815" s="524"/>
    </row>
    <row r="816" spans="2:2" ht="12" customHeight="1">
      <c r="B816" s="524"/>
    </row>
    <row r="817" spans="2:2" ht="12" customHeight="1">
      <c r="B817" s="524"/>
    </row>
    <row r="818" spans="2:2" ht="12" customHeight="1">
      <c r="B818" s="524"/>
    </row>
    <row r="819" spans="2:2" ht="12" customHeight="1">
      <c r="B819" s="524"/>
    </row>
    <row r="820" spans="2:2" ht="12" customHeight="1">
      <c r="B820" s="524"/>
    </row>
    <row r="821" spans="2:2" ht="12" customHeight="1">
      <c r="B821" s="524"/>
    </row>
    <row r="822" spans="2:2" ht="12" customHeight="1">
      <c r="B822" s="524"/>
    </row>
    <row r="823" spans="2:2" ht="12" customHeight="1">
      <c r="B823" s="524"/>
    </row>
    <row r="824" spans="2:2" ht="12" customHeight="1">
      <c r="B824" s="524"/>
    </row>
    <row r="825" spans="2:2" ht="12" customHeight="1">
      <c r="B825" s="524"/>
    </row>
    <row r="826" spans="2:2" ht="12" customHeight="1">
      <c r="B826" s="524"/>
    </row>
    <row r="827" spans="2:2" ht="12" customHeight="1">
      <c r="B827" s="524"/>
    </row>
    <row r="828" spans="2:2" ht="12" customHeight="1">
      <c r="B828" s="524"/>
    </row>
    <row r="829" spans="2:2" ht="12" customHeight="1">
      <c r="B829" s="524"/>
    </row>
    <row r="830" spans="2:2" ht="12" customHeight="1">
      <c r="B830" s="524"/>
    </row>
    <row r="831" spans="2:2" ht="12" customHeight="1">
      <c r="B831" s="524"/>
    </row>
    <row r="832" spans="2:2" ht="12" customHeight="1">
      <c r="B832" s="524"/>
    </row>
    <row r="833" spans="2:2" ht="12" customHeight="1">
      <c r="B833" s="524"/>
    </row>
    <row r="834" spans="2:2" ht="12" customHeight="1">
      <c r="B834" s="524"/>
    </row>
    <row r="835" spans="2:2" ht="12" customHeight="1">
      <c r="B835" s="524"/>
    </row>
    <row r="836" spans="2:2" ht="12" customHeight="1">
      <c r="B836" s="524"/>
    </row>
    <row r="837" spans="2:2" ht="12" customHeight="1">
      <c r="B837" s="524"/>
    </row>
    <row r="838" spans="2:2" ht="12" customHeight="1">
      <c r="B838" s="524"/>
    </row>
    <row r="839" spans="2:2" ht="12" customHeight="1">
      <c r="B839" s="524"/>
    </row>
    <row r="840" spans="2:2" ht="12" customHeight="1">
      <c r="B840" s="524"/>
    </row>
    <row r="841" spans="2:2" ht="12" customHeight="1">
      <c r="B841" s="524"/>
    </row>
    <row r="842" spans="2:2" ht="12" customHeight="1">
      <c r="B842" s="524"/>
    </row>
    <row r="843" spans="2:2" ht="12" customHeight="1">
      <c r="B843" s="524"/>
    </row>
    <row r="844" spans="2:2" ht="12" customHeight="1">
      <c r="B844" s="524"/>
    </row>
    <row r="845" spans="2:2" ht="12" customHeight="1">
      <c r="B845" s="524"/>
    </row>
    <row r="846" spans="2:2" ht="12" customHeight="1">
      <c r="B846" s="524"/>
    </row>
    <row r="847" spans="2:2" ht="12" customHeight="1">
      <c r="B847" s="524"/>
    </row>
    <row r="848" spans="2:2" ht="12" customHeight="1">
      <c r="B848" s="524"/>
    </row>
    <row r="849" spans="2:2" ht="12" customHeight="1">
      <c r="B849" s="524"/>
    </row>
    <row r="850" spans="2:2" ht="12" customHeight="1">
      <c r="B850" s="524"/>
    </row>
    <row r="851" spans="2:2" ht="12" customHeight="1">
      <c r="B851" s="524"/>
    </row>
    <row r="852" spans="2:2" ht="12" customHeight="1">
      <c r="B852" s="524"/>
    </row>
    <row r="853" spans="2:2" ht="12" customHeight="1">
      <c r="B853" s="524"/>
    </row>
    <row r="854" spans="2:2" ht="12" customHeight="1">
      <c r="B854" s="524"/>
    </row>
    <row r="855" spans="2:2" ht="12" customHeight="1">
      <c r="B855" s="524"/>
    </row>
    <row r="856" spans="2:2" ht="12" customHeight="1">
      <c r="B856" s="524"/>
    </row>
    <row r="857" spans="2:2" ht="12" customHeight="1">
      <c r="B857" s="524"/>
    </row>
    <row r="858" spans="2:2" ht="12" customHeight="1">
      <c r="B858" s="524"/>
    </row>
    <row r="859" spans="2:2" ht="12" customHeight="1">
      <c r="B859" s="524"/>
    </row>
    <row r="860" spans="2:2" ht="12" customHeight="1">
      <c r="B860" s="524"/>
    </row>
    <row r="861" spans="2:2" ht="12" customHeight="1">
      <c r="B861" s="524"/>
    </row>
    <row r="862" spans="2:2" ht="12" customHeight="1">
      <c r="B862" s="524"/>
    </row>
    <row r="863" spans="2:2" ht="12" customHeight="1">
      <c r="B863" s="524"/>
    </row>
    <row r="864" spans="2:2" ht="12" customHeight="1">
      <c r="B864" s="524"/>
    </row>
    <row r="865" spans="2:2" ht="12" customHeight="1">
      <c r="B865" s="524"/>
    </row>
    <row r="866" spans="2:2" ht="12" customHeight="1">
      <c r="B866" s="524"/>
    </row>
    <row r="867" spans="2:2" ht="12" customHeight="1">
      <c r="B867" s="524"/>
    </row>
    <row r="868" spans="2:2" ht="12" customHeight="1">
      <c r="B868" s="524"/>
    </row>
    <row r="869" spans="2:2" ht="12" customHeight="1">
      <c r="B869" s="524"/>
    </row>
    <row r="870" spans="2:2" ht="12" customHeight="1">
      <c r="B870" s="524"/>
    </row>
    <row r="871" spans="2:2" ht="12" customHeight="1">
      <c r="B871" s="524"/>
    </row>
    <row r="872" spans="2:2" ht="12" customHeight="1">
      <c r="B872" s="524"/>
    </row>
    <row r="873" spans="2:2" ht="12" customHeight="1">
      <c r="B873" s="524"/>
    </row>
    <row r="874" spans="2:2" ht="12" customHeight="1">
      <c r="B874" s="524"/>
    </row>
    <row r="875" spans="2:2" ht="12" customHeight="1">
      <c r="B875" s="524"/>
    </row>
    <row r="876" spans="2:2" ht="12" customHeight="1">
      <c r="B876" s="524"/>
    </row>
    <row r="877" spans="2:2" ht="12" customHeight="1">
      <c r="B877" s="524"/>
    </row>
    <row r="878" spans="2:2" ht="12" customHeight="1">
      <c r="B878" s="524"/>
    </row>
    <row r="879" spans="2:2" ht="12" customHeight="1">
      <c r="B879" s="524"/>
    </row>
    <row r="880" spans="2:2" ht="12" customHeight="1">
      <c r="B880" s="524"/>
    </row>
    <row r="881" spans="2:2" ht="12" customHeight="1">
      <c r="B881" s="524"/>
    </row>
    <row r="882" spans="2:2" ht="12" customHeight="1">
      <c r="B882" s="524"/>
    </row>
    <row r="883" spans="2:2" ht="12" customHeight="1">
      <c r="B883" s="524"/>
    </row>
    <row r="884" spans="2:2" ht="12" customHeight="1">
      <c r="B884" s="524"/>
    </row>
    <row r="885" spans="2:2" ht="12" customHeight="1">
      <c r="B885" s="524"/>
    </row>
    <row r="886" spans="2:2" ht="12" customHeight="1">
      <c r="B886" s="524"/>
    </row>
    <row r="887" spans="2:2" ht="12" customHeight="1">
      <c r="B887" s="524"/>
    </row>
    <row r="888" spans="2:2" ht="12" customHeight="1">
      <c r="B888" s="524"/>
    </row>
    <row r="889" spans="2:2" ht="12" customHeight="1">
      <c r="B889" s="524"/>
    </row>
    <row r="890" spans="2:2" ht="12" customHeight="1">
      <c r="B890" s="524"/>
    </row>
    <row r="891" spans="2:2" ht="12" customHeight="1">
      <c r="B891" s="524"/>
    </row>
    <row r="892" spans="2:2" ht="12" customHeight="1">
      <c r="B892" s="524"/>
    </row>
    <row r="893" spans="2:2" ht="12" customHeight="1">
      <c r="B893" s="524"/>
    </row>
    <row r="894" spans="2:2" ht="12" customHeight="1">
      <c r="B894" s="524"/>
    </row>
    <row r="895" spans="2:2" ht="12" customHeight="1">
      <c r="B895" s="524"/>
    </row>
    <row r="896" spans="2:2" ht="12" customHeight="1">
      <c r="B896" s="524"/>
    </row>
    <row r="897" spans="2:2" ht="12" customHeight="1">
      <c r="B897" s="524"/>
    </row>
    <row r="898" spans="2:2" ht="12" customHeight="1">
      <c r="B898" s="524"/>
    </row>
    <row r="899" spans="2:2" ht="12" customHeight="1">
      <c r="B899" s="524"/>
    </row>
    <row r="900" spans="2:2" ht="12" customHeight="1">
      <c r="B900" s="524"/>
    </row>
    <row r="901" spans="2:2" ht="12" customHeight="1">
      <c r="B901" s="524"/>
    </row>
    <row r="902" spans="2:2" ht="12" customHeight="1">
      <c r="B902" s="524"/>
    </row>
    <row r="903" spans="2:2" ht="12" customHeight="1">
      <c r="B903" s="524"/>
    </row>
    <row r="904" spans="2:2" ht="12" customHeight="1">
      <c r="B904" s="524"/>
    </row>
    <row r="905" spans="2:2" ht="12" customHeight="1">
      <c r="B905" s="524"/>
    </row>
    <row r="906" spans="2:2" ht="12" customHeight="1">
      <c r="B906" s="524"/>
    </row>
    <row r="907" spans="2:2" ht="12" customHeight="1">
      <c r="B907" s="524"/>
    </row>
    <row r="908" spans="2:2" ht="12" customHeight="1">
      <c r="B908" s="524"/>
    </row>
    <row r="909" spans="2:2" ht="12" customHeight="1">
      <c r="B909" s="524"/>
    </row>
    <row r="910" spans="2:2" ht="12" customHeight="1">
      <c r="B910" s="524"/>
    </row>
    <row r="911" spans="2:2" ht="12" customHeight="1">
      <c r="B911" s="524"/>
    </row>
    <row r="912" spans="2:2" ht="12" customHeight="1">
      <c r="B912" s="524"/>
    </row>
    <row r="913" spans="2:2" ht="12" customHeight="1">
      <c r="B913" s="524"/>
    </row>
    <row r="914" spans="2:2" ht="12" customHeight="1">
      <c r="B914" s="524"/>
    </row>
    <row r="915" spans="2:2" ht="12" customHeight="1">
      <c r="B915" s="524"/>
    </row>
    <row r="916" spans="2:2" ht="12" customHeight="1">
      <c r="B916" s="524"/>
    </row>
    <row r="917" spans="2:2" ht="12" customHeight="1">
      <c r="B917" s="524"/>
    </row>
    <row r="918" spans="2:2" ht="12" customHeight="1">
      <c r="B918" s="524"/>
    </row>
    <row r="919" spans="2:2" ht="12" customHeight="1">
      <c r="B919" s="524"/>
    </row>
    <row r="920" spans="2:2" ht="12" customHeight="1">
      <c r="B920" s="524"/>
    </row>
    <row r="921" spans="2:2" ht="12" customHeight="1">
      <c r="B921" s="524"/>
    </row>
    <row r="922" spans="2:2" ht="12" customHeight="1">
      <c r="B922" s="524"/>
    </row>
    <row r="923" spans="2:2" ht="12" customHeight="1">
      <c r="B923" s="524"/>
    </row>
    <row r="924" spans="2:2" ht="12" customHeight="1">
      <c r="B924" s="524"/>
    </row>
    <row r="925" spans="2:2" ht="12" customHeight="1">
      <c r="B925" s="524"/>
    </row>
    <row r="926" spans="2:2" ht="12" customHeight="1">
      <c r="B926" s="524"/>
    </row>
    <row r="927" spans="2:2" ht="12" customHeight="1">
      <c r="B927" s="524"/>
    </row>
    <row r="928" spans="2:2" ht="12" customHeight="1">
      <c r="B928" s="524"/>
    </row>
    <row r="929" spans="2:2" ht="12" customHeight="1">
      <c r="B929" s="524"/>
    </row>
    <row r="930" spans="2:2" ht="12" customHeight="1">
      <c r="B930" s="524"/>
    </row>
    <row r="931" spans="2:2" ht="12" customHeight="1">
      <c r="B931" s="524"/>
    </row>
    <row r="932" spans="2:2" ht="12" customHeight="1">
      <c r="B932" s="524"/>
    </row>
    <row r="933" spans="2:2" ht="12" customHeight="1">
      <c r="B933" s="524"/>
    </row>
    <row r="934" spans="2:2" ht="12" customHeight="1">
      <c r="B934" s="524"/>
    </row>
    <row r="935" spans="2:2" ht="12" customHeight="1">
      <c r="B935" s="524"/>
    </row>
    <row r="936" spans="2:2" ht="12" customHeight="1">
      <c r="B936" s="524"/>
    </row>
    <row r="937" spans="2:2" ht="12" customHeight="1">
      <c r="B937" s="524"/>
    </row>
    <row r="938" spans="2:2" ht="12" customHeight="1">
      <c r="B938" s="524"/>
    </row>
    <row r="939" spans="2:2" ht="12" customHeight="1">
      <c r="B939" s="524"/>
    </row>
    <row r="940" spans="2:2" ht="12" customHeight="1">
      <c r="B940" s="524"/>
    </row>
    <row r="941" spans="2:2" ht="12" customHeight="1">
      <c r="B941" s="524"/>
    </row>
    <row r="942" spans="2:2" ht="12" customHeight="1">
      <c r="B942" s="524"/>
    </row>
    <row r="943" spans="2:2" ht="12" customHeight="1">
      <c r="B943" s="524"/>
    </row>
    <row r="944" spans="2:2" ht="12" customHeight="1">
      <c r="B944" s="524"/>
    </row>
    <row r="945" spans="2:2" ht="12" customHeight="1">
      <c r="B945" s="524"/>
    </row>
    <row r="946" spans="2:2" ht="12" customHeight="1">
      <c r="B946" s="524"/>
    </row>
    <row r="947" spans="2:2" ht="12" customHeight="1">
      <c r="B947" s="524"/>
    </row>
    <row r="948" spans="2:2" ht="12" customHeight="1">
      <c r="B948" s="524"/>
    </row>
    <row r="949" spans="2:2" ht="12" customHeight="1">
      <c r="B949" s="524"/>
    </row>
    <row r="950" spans="2:2" ht="12" customHeight="1">
      <c r="B950" s="524"/>
    </row>
    <row r="951" spans="2:2" ht="12" customHeight="1">
      <c r="B951" s="524"/>
    </row>
    <row r="952" spans="2:2" ht="12" customHeight="1">
      <c r="B952" s="524"/>
    </row>
    <row r="953" spans="2:2" ht="12" customHeight="1">
      <c r="B953" s="524"/>
    </row>
    <row r="954" spans="2:2" ht="12" customHeight="1">
      <c r="B954" s="524"/>
    </row>
    <row r="955" spans="2:2" ht="12" customHeight="1">
      <c r="B955" s="524"/>
    </row>
    <row r="956" spans="2:2" ht="12" customHeight="1">
      <c r="B956" s="524"/>
    </row>
    <row r="957" spans="2:2" ht="12" customHeight="1">
      <c r="B957" s="524"/>
    </row>
    <row r="958" spans="2:2" ht="12" customHeight="1">
      <c r="B958" s="524"/>
    </row>
    <row r="959" spans="2:2" ht="12" customHeight="1">
      <c r="B959" s="524"/>
    </row>
    <row r="960" spans="2:2" ht="12" customHeight="1">
      <c r="B960" s="524"/>
    </row>
    <row r="961" spans="2:2" ht="12" customHeight="1">
      <c r="B961" s="524"/>
    </row>
    <row r="962" spans="2:2" ht="12" customHeight="1">
      <c r="B962" s="524"/>
    </row>
    <row r="963" spans="2:2" ht="12" customHeight="1">
      <c r="B963" s="524"/>
    </row>
    <row r="964" spans="2:2" ht="12" customHeight="1">
      <c r="B964" s="524"/>
    </row>
    <row r="965" spans="2:2" ht="12" customHeight="1">
      <c r="B965" s="524"/>
    </row>
    <row r="966" spans="2:2" ht="12" customHeight="1">
      <c r="B966" s="524"/>
    </row>
    <row r="967" spans="2:2" ht="12" customHeight="1">
      <c r="B967" s="524"/>
    </row>
    <row r="968" spans="2:2" ht="12" customHeight="1">
      <c r="B968" s="524"/>
    </row>
    <row r="969" spans="2:2" ht="12" customHeight="1">
      <c r="B969" s="524"/>
    </row>
    <row r="970" spans="2:2" ht="12" customHeight="1">
      <c r="B970" s="524"/>
    </row>
    <row r="971" spans="2:2" ht="12" customHeight="1">
      <c r="B971" s="524"/>
    </row>
    <row r="972" spans="2:2" ht="12" customHeight="1">
      <c r="B972" s="524"/>
    </row>
    <row r="973" spans="2:2" ht="12" customHeight="1">
      <c r="B973" s="524"/>
    </row>
    <row r="974" spans="2:2" ht="12" customHeight="1">
      <c r="B974" s="524"/>
    </row>
    <row r="975" spans="2:2" ht="12" customHeight="1">
      <c r="B975" s="524"/>
    </row>
    <row r="976" spans="2:2" ht="12" customHeight="1">
      <c r="B976" s="524"/>
    </row>
    <row r="977" spans="2:2" ht="12" customHeight="1">
      <c r="B977" s="524"/>
    </row>
    <row r="978" spans="2:2" ht="12" customHeight="1">
      <c r="B978" s="524"/>
    </row>
    <row r="979" spans="2:2" ht="12" customHeight="1">
      <c r="B979" s="524"/>
    </row>
    <row r="980" spans="2:2" ht="12" customHeight="1">
      <c r="B980" s="524"/>
    </row>
    <row r="981" spans="2:2" ht="12" customHeight="1">
      <c r="B981" s="524"/>
    </row>
    <row r="982" spans="2:2" ht="12" customHeight="1">
      <c r="B982" s="524"/>
    </row>
    <row r="983" spans="2:2" ht="12" customHeight="1">
      <c r="B983" s="524"/>
    </row>
    <row r="984" spans="2:2" ht="12" customHeight="1">
      <c r="B984" s="524"/>
    </row>
    <row r="985" spans="2:2" ht="12" customHeight="1">
      <c r="B985" s="524"/>
    </row>
    <row r="986" spans="2:2" ht="12" customHeight="1">
      <c r="B986" s="524"/>
    </row>
    <row r="987" spans="2:2" ht="12" customHeight="1">
      <c r="B987" s="524"/>
    </row>
    <row r="988" spans="2:2" ht="12" customHeight="1">
      <c r="B988" s="524"/>
    </row>
    <row r="989" spans="2:2" ht="12" customHeight="1">
      <c r="B989" s="524"/>
    </row>
    <row r="990" spans="2:2" ht="12" customHeight="1">
      <c r="B990" s="524"/>
    </row>
    <row r="991" spans="2:2" ht="12" customHeight="1">
      <c r="B991" s="524"/>
    </row>
    <row r="992" spans="2:2" ht="12" customHeight="1">
      <c r="B992" s="524"/>
    </row>
    <row r="993" spans="2:2" ht="12" customHeight="1">
      <c r="B993" s="524"/>
    </row>
    <row r="994" spans="2:2" ht="12" customHeight="1">
      <c r="B994" s="524"/>
    </row>
    <row r="995" spans="2:2" ht="12" customHeight="1">
      <c r="B995" s="524"/>
    </row>
    <row r="996" spans="2:2" ht="12" customHeight="1">
      <c r="B996" s="524"/>
    </row>
    <row r="997" spans="2:2" ht="12" customHeight="1">
      <c r="B997" s="524"/>
    </row>
    <row r="998" spans="2:2" ht="12" customHeight="1">
      <c r="B998" s="524"/>
    </row>
  </sheetData>
  <sheetProtection algorithmName="SHA-512" hashValue="Ml0xbRzleIaDLUc1aIm46wZqan1D9LuT/xsqc2hfRAaSeWqMQNcr0Th9eKHS64eh7ONUdwvSpSO47oL+4Z3c4Q==" saltValue="lIYEkpYlLJs9nHenZadifQ==" spinCount="100000" sheet="1" objects="1" scenarios="1"/>
  <pageMargins left="0.75" right="0.75" top="1" bottom="1" header="0" footer="0"/>
  <pageSetup scale="74"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sheetPr>
  <dimension ref="A1:AD988"/>
  <sheetViews>
    <sheetView showGridLines="0" workbookViewId="0">
      <selection activeCell="B5" sqref="B5:B11"/>
    </sheetView>
  </sheetViews>
  <sheetFormatPr defaultColWidth="17.27734375" defaultRowHeight="15" customHeight="1"/>
  <cols>
    <col min="1" max="1" width="43.44140625" style="279" customWidth="1"/>
    <col min="2" max="2" width="7.832031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26" ht="12" customHeight="1">
      <c r="B1" s="524"/>
    </row>
    <row r="2" spans="1:26" ht="17.7">
      <c r="A2" s="817" t="s">
        <v>56</v>
      </c>
      <c r="B2" s="524"/>
    </row>
    <row r="3" spans="1:26" ht="12" customHeight="1">
      <c r="B3" s="524"/>
      <c r="G3" s="294"/>
    </row>
    <row r="4" spans="1:26" ht="12" customHeight="1">
      <c r="A4" s="818" t="s">
        <v>613</v>
      </c>
      <c r="B4" s="819" t="s">
        <v>179</v>
      </c>
      <c r="C4" s="819" t="s">
        <v>31</v>
      </c>
      <c r="D4" s="819" t="s">
        <v>21</v>
      </c>
      <c r="E4" s="819" t="s">
        <v>32</v>
      </c>
      <c r="F4" s="819" t="s">
        <v>33</v>
      </c>
      <c r="G4" s="595"/>
      <c r="H4" s="792" t="s">
        <v>905</v>
      </c>
    </row>
    <row r="5" spans="1:26" ht="12" customHeight="1">
      <c r="A5" s="320" t="str">
        <f>IF(A20="", "", A20)</f>
        <v>Calcium Carbonate or Calcium Hydroxide</v>
      </c>
      <c r="B5" s="433"/>
      <c r="C5" s="337" t="str">
        <f>IF(SUM(C20:N20)&gt;0, SUM(C20:N20), "")</f>
        <v/>
      </c>
      <c r="D5" s="337" t="str">
        <f>IF(SUM(O20:Y20)&gt;0, SUM(O20:Y20), "")</f>
        <v/>
      </c>
      <c r="E5" s="337" t="str">
        <f>IF(D5="", "", D5*(1+B5))</f>
        <v/>
      </c>
      <c r="F5" s="337" t="str">
        <f>IF(E5="", "", E5*(1+B5))</f>
        <v/>
      </c>
      <c r="G5" s="860"/>
      <c r="H5" s="948" t="s">
        <v>910</v>
      </c>
    </row>
    <row r="6" spans="1:26" ht="12" customHeight="1">
      <c r="A6" s="320" t="str">
        <f t="shared" ref="A6:A15" si="0">IF(A21="", "", A21)</f>
        <v>Chelated Iron DTPA 10-11%</v>
      </c>
      <c r="B6" s="433"/>
      <c r="C6" s="337" t="str">
        <f t="shared" ref="C6:C15" si="1">IF(SUM(C21:N21)&gt;0, SUM(C21:N21), "")</f>
        <v/>
      </c>
      <c r="D6" s="337" t="str">
        <f t="shared" ref="D6:D15" si="2">IF(SUM(O21:Y21)&gt;0, SUM(O21:Y21), "")</f>
        <v/>
      </c>
      <c r="E6" s="337" t="str">
        <f t="shared" ref="E6:E15" si="3">IF(D6="", "", D6*(1+B6))</f>
        <v/>
      </c>
      <c r="F6" s="337" t="str">
        <f t="shared" ref="F6:F15" si="4">IF(E6="", "", E6*(1+B6))</f>
        <v/>
      </c>
      <c r="G6" s="860"/>
    </row>
    <row r="7" spans="1:26" ht="12" customHeight="1">
      <c r="A7" s="320" t="str">
        <f t="shared" si="0"/>
        <v>Potassium Hydroxide or Potassium bicarbonate</v>
      </c>
      <c r="B7" s="433"/>
      <c r="C7" s="337" t="str">
        <f t="shared" si="1"/>
        <v/>
      </c>
      <c r="D7" s="337" t="str">
        <f t="shared" si="2"/>
        <v/>
      </c>
      <c r="E7" s="337" t="str">
        <f t="shared" si="3"/>
        <v/>
      </c>
      <c r="F7" s="337" t="str">
        <f t="shared" si="4"/>
        <v/>
      </c>
      <c r="G7" s="860"/>
    </row>
    <row r="8" spans="1:26" ht="12" customHeight="1">
      <c r="A8" s="320" t="str">
        <f t="shared" si="0"/>
        <v>Phosphoric Acid</v>
      </c>
      <c r="B8" s="433"/>
      <c r="C8" s="337" t="str">
        <f t="shared" si="1"/>
        <v/>
      </c>
      <c r="D8" s="337" t="str">
        <f t="shared" si="2"/>
        <v/>
      </c>
      <c r="E8" s="337" t="str">
        <f t="shared" si="3"/>
        <v/>
      </c>
      <c r="F8" s="337" t="str">
        <f t="shared" si="4"/>
        <v/>
      </c>
      <c r="G8" s="860"/>
    </row>
    <row r="9" spans="1:26" ht="12" customHeight="1">
      <c r="A9" s="320" t="str">
        <f t="shared" si="0"/>
        <v>Magnesium Sulfate</v>
      </c>
      <c r="B9" s="433"/>
      <c r="C9" s="337" t="str">
        <f t="shared" si="1"/>
        <v/>
      </c>
      <c r="D9" s="337" t="str">
        <f t="shared" si="2"/>
        <v/>
      </c>
      <c r="E9" s="337" t="str">
        <f t="shared" si="3"/>
        <v/>
      </c>
      <c r="F9" s="337" t="str">
        <f t="shared" si="4"/>
        <v/>
      </c>
      <c r="G9" s="860"/>
    </row>
    <row r="10" spans="1:26" ht="12" customHeight="1">
      <c r="A10" s="320" t="str">
        <f t="shared" si="0"/>
        <v>Shell Grit</v>
      </c>
      <c r="B10" s="433"/>
      <c r="C10" s="337" t="str">
        <f t="shared" si="1"/>
        <v/>
      </c>
      <c r="D10" s="337" t="str">
        <f t="shared" si="2"/>
        <v/>
      </c>
      <c r="E10" s="337" t="str">
        <f t="shared" si="3"/>
        <v/>
      </c>
      <c r="F10" s="337" t="str">
        <f t="shared" si="4"/>
        <v/>
      </c>
      <c r="G10" s="860"/>
    </row>
    <row r="11" spans="1:26" ht="12" customHeight="1">
      <c r="A11" s="320" t="str">
        <f t="shared" si="0"/>
        <v xml:space="preserve">Espertan Organic Full spectrum Nutrient Formula </v>
      </c>
      <c r="B11" s="433"/>
      <c r="C11" s="337" t="str">
        <f t="shared" si="1"/>
        <v/>
      </c>
      <c r="D11" s="337" t="str">
        <f t="shared" si="2"/>
        <v/>
      </c>
      <c r="E11" s="337" t="str">
        <f t="shared" si="3"/>
        <v/>
      </c>
      <c r="F11" s="337" t="str">
        <f t="shared" si="4"/>
        <v/>
      </c>
      <c r="G11" s="860"/>
    </row>
    <row r="12" spans="1:26" s="914" customFormat="1" ht="12" customHeight="1">
      <c r="A12" s="320" t="str">
        <f t="shared" si="0"/>
        <v/>
      </c>
      <c r="B12" s="433"/>
      <c r="C12" s="337" t="str">
        <f t="shared" si="1"/>
        <v/>
      </c>
      <c r="D12" s="337" t="str">
        <f t="shared" si="2"/>
        <v/>
      </c>
      <c r="E12" s="337" t="str">
        <f t="shared" si="3"/>
        <v/>
      </c>
      <c r="F12" s="337" t="str">
        <f t="shared" si="4"/>
        <v/>
      </c>
      <c r="G12" s="860"/>
      <c r="H12" s="913"/>
      <c r="I12" s="913"/>
      <c r="J12" s="913"/>
      <c r="K12" s="913"/>
      <c r="L12" s="913"/>
      <c r="M12" s="913"/>
      <c r="N12" s="913"/>
      <c r="O12" s="913"/>
      <c r="P12" s="913"/>
      <c r="Q12" s="913"/>
      <c r="R12" s="913"/>
      <c r="S12" s="913"/>
      <c r="T12" s="913"/>
      <c r="U12" s="913"/>
      <c r="V12" s="913"/>
      <c r="W12" s="913"/>
      <c r="X12" s="913"/>
      <c r="Y12" s="913"/>
      <c r="Z12" s="913"/>
    </row>
    <row r="13" spans="1:26" s="914" customFormat="1" ht="12" customHeight="1">
      <c r="A13" s="320" t="str">
        <f t="shared" si="0"/>
        <v/>
      </c>
      <c r="B13" s="433"/>
      <c r="C13" s="337" t="str">
        <f t="shared" si="1"/>
        <v/>
      </c>
      <c r="D13" s="337" t="str">
        <f t="shared" si="2"/>
        <v/>
      </c>
      <c r="E13" s="337" t="str">
        <f t="shared" si="3"/>
        <v/>
      </c>
      <c r="F13" s="337" t="str">
        <f t="shared" si="4"/>
        <v/>
      </c>
      <c r="G13" s="860"/>
      <c r="H13" s="913"/>
      <c r="I13" s="913"/>
      <c r="J13" s="913"/>
      <c r="K13" s="913"/>
      <c r="L13" s="913"/>
      <c r="M13" s="913"/>
      <c r="N13" s="913"/>
      <c r="O13" s="913"/>
      <c r="P13" s="913"/>
      <c r="Q13" s="913"/>
      <c r="R13" s="913"/>
      <c r="S13" s="913"/>
      <c r="T13" s="913"/>
      <c r="U13" s="913"/>
      <c r="V13" s="913"/>
      <c r="W13" s="913"/>
      <c r="X13" s="913"/>
      <c r="Y13" s="913"/>
      <c r="Z13" s="913"/>
    </row>
    <row r="14" spans="1:26" s="914" customFormat="1" ht="12" customHeight="1">
      <c r="A14" s="320" t="str">
        <f t="shared" si="0"/>
        <v/>
      </c>
      <c r="B14" s="433"/>
      <c r="C14" s="337" t="str">
        <f t="shared" si="1"/>
        <v/>
      </c>
      <c r="D14" s="337" t="str">
        <f t="shared" si="2"/>
        <v/>
      </c>
      <c r="E14" s="337" t="str">
        <f t="shared" si="3"/>
        <v/>
      </c>
      <c r="F14" s="337" t="str">
        <f t="shared" si="4"/>
        <v/>
      </c>
      <c r="G14" s="860"/>
      <c r="H14" s="913"/>
      <c r="I14" s="913"/>
      <c r="J14" s="913"/>
      <c r="K14" s="913"/>
      <c r="L14" s="913"/>
      <c r="M14" s="913"/>
      <c r="N14" s="913"/>
      <c r="O14" s="913"/>
      <c r="P14" s="913"/>
      <c r="Q14" s="913"/>
      <c r="R14" s="913"/>
      <c r="S14" s="913"/>
      <c r="T14" s="913"/>
      <c r="U14" s="913"/>
      <c r="V14" s="913"/>
      <c r="W14" s="913"/>
      <c r="X14" s="913"/>
      <c r="Y14" s="913"/>
      <c r="Z14" s="913"/>
    </row>
    <row r="15" spans="1:26" s="914" customFormat="1" ht="12" customHeight="1">
      <c r="A15" s="320" t="str">
        <f t="shared" si="0"/>
        <v/>
      </c>
      <c r="B15" s="433"/>
      <c r="C15" s="337" t="str">
        <f t="shared" si="1"/>
        <v/>
      </c>
      <c r="D15" s="337" t="str">
        <f t="shared" si="2"/>
        <v/>
      </c>
      <c r="E15" s="337" t="str">
        <f t="shared" si="3"/>
        <v/>
      </c>
      <c r="F15" s="337" t="str">
        <f t="shared" si="4"/>
        <v/>
      </c>
      <c r="G15" s="860"/>
      <c r="H15" s="913"/>
      <c r="I15" s="913"/>
      <c r="J15" s="913"/>
      <c r="K15" s="913"/>
      <c r="L15" s="913"/>
      <c r="M15" s="913"/>
      <c r="N15" s="913"/>
      <c r="O15" s="913"/>
      <c r="P15" s="913"/>
      <c r="Q15" s="913"/>
      <c r="R15" s="913"/>
      <c r="S15" s="913"/>
      <c r="T15" s="913"/>
      <c r="U15" s="913"/>
      <c r="V15" s="913"/>
      <c r="W15" s="913"/>
      <c r="X15" s="913"/>
      <c r="Y15" s="913"/>
      <c r="Z15" s="913"/>
    </row>
    <row r="16" spans="1:26" ht="12" customHeight="1">
      <c r="A16" s="439" t="s">
        <v>591</v>
      </c>
      <c r="B16" s="367"/>
      <c r="C16" s="770">
        <f>SUM(C5:C15)</f>
        <v>0</v>
      </c>
      <c r="D16" s="770">
        <f>SUM(D5:D15)</f>
        <v>0</v>
      </c>
      <c r="E16" s="770">
        <f>SUM(E5:E15)</f>
        <v>0</v>
      </c>
      <c r="F16" s="770">
        <f>SUM(F5:F15)</f>
        <v>0</v>
      </c>
      <c r="G16" s="899"/>
    </row>
    <row r="17" spans="1:30" ht="12" customHeight="1">
      <c r="B17" s="524"/>
    </row>
    <row r="18" spans="1:30" s="274" customFormat="1" ht="12" customHeight="1">
      <c r="A18" s="792" t="s">
        <v>722</v>
      </c>
      <c r="B18" s="987"/>
      <c r="C18" s="988" t="s">
        <v>31</v>
      </c>
      <c r="D18" s="792"/>
      <c r="E18" s="792"/>
      <c r="F18" s="792"/>
      <c r="G18" s="792"/>
      <c r="H18" s="792"/>
      <c r="I18" s="792"/>
      <c r="J18" s="792"/>
      <c r="K18" s="792"/>
      <c r="L18" s="792"/>
      <c r="M18" s="792"/>
      <c r="N18" s="992"/>
      <c r="O18" s="792" t="s">
        <v>21</v>
      </c>
      <c r="P18" s="792"/>
      <c r="Q18" s="792"/>
      <c r="R18" s="792"/>
      <c r="S18" s="792"/>
      <c r="T18" s="792"/>
      <c r="U18" s="792"/>
      <c r="V18" s="792"/>
      <c r="W18" s="792"/>
      <c r="X18" s="792"/>
      <c r="Y18" s="792"/>
      <c r="Z18" s="792"/>
    </row>
    <row r="19" spans="1:30" ht="12" customHeight="1">
      <c r="A19" s="894" t="s">
        <v>723</v>
      </c>
      <c r="B19" s="894" t="s">
        <v>724</v>
      </c>
      <c r="C19" s="1311">
        <f>'2 yr monthly cash flow'!B8</f>
        <v>6</v>
      </c>
      <c r="D19" s="637">
        <f>'2 yr monthly cash flow'!C8</f>
        <v>7</v>
      </c>
      <c r="E19" s="637">
        <f>'2 yr monthly cash flow'!D8</f>
        <v>8</v>
      </c>
      <c r="F19" s="637">
        <f>'2 yr monthly cash flow'!E8</f>
        <v>9</v>
      </c>
      <c r="G19" s="637">
        <f>'2 yr monthly cash flow'!F8</f>
        <v>10</v>
      </c>
      <c r="H19" s="637">
        <f>'2 yr monthly cash flow'!G8</f>
        <v>11</v>
      </c>
      <c r="I19" s="637">
        <f>'2 yr monthly cash flow'!H8</f>
        <v>12</v>
      </c>
      <c r="J19" s="637">
        <f>'2 yr monthly cash flow'!I8</f>
        <v>1</v>
      </c>
      <c r="K19" s="637">
        <f>'2 yr monthly cash flow'!J8</f>
        <v>2</v>
      </c>
      <c r="L19" s="637">
        <f>'2 yr monthly cash flow'!K8</f>
        <v>3</v>
      </c>
      <c r="M19" s="637">
        <f>'2 yr monthly cash flow'!L8</f>
        <v>4</v>
      </c>
      <c r="N19" s="775">
        <f>'2 yr monthly cash flow'!M8</f>
        <v>5</v>
      </c>
      <c r="O19" s="776">
        <f>'2 yr monthly cash flow'!N8</f>
        <v>6</v>
      </c>
      <c r="P19" s="637">
        <f>'2 yr monthly cash flow'!O8</f>
        <v>7</v>
      </c>
      <c r="Q19" s="637">
        <f>'2 yr monthly cash flow'!P8</f>
        <v>8</v>
      </c>
      <c r="R19" s="637">
        <f>'2 yr monthly cash flow'!Q8</f>
        <v>9</v>
      </c>
      <c r="S19" s="637">
        <f>'2 yr monthly cash flow'!R8</f>
        <v>10</v>
      </c>
      <c r="T19" s="637">
        <f>'2 yr monthly cash flow'!S8</f>
        <v>11</v>
      </c>
      <c r="U19" s="637">
        <f>'2 yr monthly cash flow'!T8</f>
        <v>12</v>
      </c>
      <c r="V19" s="637">
        <f>'2 yr monthly cash flow'!U8</f>
        <v>1</v>
      </c>
      <c r="W19" s="637">
        <f>'2 yr monthly cash flow'!V8</f>
        <v>2</v>
      </c>
      <c r="X19" s="637">
        <f>'2 yr monthly cash flow'!W8</f>
        <v>3</v>
      </c>
      <c r="Y19" s="637">
        <f>'2 yr monthly cash flow'!X8</f>
        <v>4</v>
      </c>
      <c r="Z19" s="637">
        <f>'2 yr monthly cash flow'!Y8</f>
        <v>5</v>
      </c>
      <c r="AA19" s="273"/>
      <c r="AB19" s="273"/>
      <c r="AC19" s="251"/>
      <c r="AD19" s="251"/>
    </row>
    <row r="20" spans="1:30" ht="12" customHeight="1">
      <c r="A20" s="896" t="s">
        <v>273</v>
      </c>
      <c r="B20" s="896"/>
      <c r="C20" s="836"/>
      <c r="D20" s="517"/>
      <c r="E20" s="517"/>
      <c r="F20" s="517"/>
      <c r="G20" s="517"/>
      <c r="H20" s="517"/>
      <c r="I20" s="517"/>
      <c r="J20" s="517"/>
      <c r="K20" s="517"/>
      <c r="L20" s="517"/>
      <c r="M20" s="517"/>
      <c r="N20" s="849"/>
      <c r="O20" s="836"/>
      <c r="P20" s="517"/>
      <c r="Q20" s="517"/>
      <c r="R20" s="517"/>
      <c r="S20" s="517"/>
      <c r="T20" s="517"/>
      <c r="U20" s="517"/>
      <c r="V20" s="517"/>
      <c r="W20" s="517"/>
      <c r="X20" s="517"/>
      <c r="Y20" s="517"/>
      <c r="Z20" s="517"/>
      <c r="AA20" s="15"/>
      <c r="AB20" s="15"/>
    </row>
    <row r="21" spans="1:30" ht="12" customHeight="1">
      <c r="A21" s="896" t="s">
        <v>275</v>
      </c>
      <c r="B21" s="896"/>
      <c r="C21" s="836"/>
      <c r="D21" s="517"/>
      <c r="E21" s="517"/>
      <c r="F21" s="517"/>
      <c r="G21" s="517"/>
      <c r="H21" s="517"/>
      <c r="I21" s="517"/>
      <c r="J21" s="517"/>
      <c r="K21" s="517"/>
      <c r="L21" s="517"/>
      <c r="M21" s="517"/>
      <c r="N21" s="849"/>
      <c r="O21" s="836"/>
      <c r="P21" s="517"/>
      <c r="Q21" s="517"/>
      <c r="R21" s="517"/>
      <c r="S21" s="517"/>
      <c r="T21" s="517"/>
      <c r="U21" s="517"/>
      <c r="V21" s="517"/>
      <c r="W21" s="517"/>
      <c r="X21" s="517"/>
      <c r="Y21" s="517"/>
      <c r="Z21" s="849"/>
      <c r="AA21" s="15"/>
      <c r="AB21" s="15"/>
    </row>
    <row r="22" spans="1:30" ht="12" customHeight="1">
      <c r="A22" s="896" t="s">
        <v>277</v>
      </c>
      <c r="B22" s="896"/>
      <c r="C22" s="836"/>
      <c r="D22" s="517"/>
      <c r="E22" s="517"/>
      <c r="F22" s="517"/>
      <c r="G22" s="517"/>
      <c r="H22" s="517"/>
      <c r="I22" s="517"/>
      <c r="J22" s="517"/>
      <c r="K22" s="517"/>
      <c r="L22" s="517"/>
      <c r="M22" s="517"/>
      <c r="N22" s="849"/>
      <c r="O22" s="836"/>
      <c r="P22" s="517"/>
      <c r="Q22" s="517"/>
      <c r="R22" s="517"/>
      <c r="S22" s="517"/>
      <c r="T22" s="517"/>
      <c r="U22" s="517"/>
      <c r="V22" s="517"/>
      <c r="W22" s="517"/>
      <c r="X22" s="517"/>
      <c r="Y22" s="517"/>
      <c r="Z22" s="849"/>
      <c r="AA22" s="15"/>
      <c r="AB22" s="15"/>
    </row>
    <row r="23" spans="1:30" ht="12" customHeight="1">
      <c r="A23" s="896" t="s">
        <v>279</v>
      </c>
      <c r="B23" s="896"/>
      <c r="C23" s="836"/>
      <c r="D23" s="517"/>
      <c r="E23" s="517"/>
      <c r="F23" s="517"/>
      <c r="G23" s="517"/>
      <c r="H23" s="517"/>
      <c r="I23" s="517"/>
      <c r="J23" s="517"/>
      <c r="K23" s="517"/>
      <c r="L23" s="517"/>
      <c r="M23" s="517"/>
      <c r="N23" s="849"/>
      <c r="O23" s="836"/>
      <c r="P23" s="517"/>
      <c r="Q23" s="517"/>
      <c r="R23" s="517"/>
      <c r="S23" s="517"/>
      <c r="T23" s="517"/>
      <c r="U23" s="517"/>
      <c r="V23" s="517"/>
      <c r="W23" s="517"/>
      <c r="X23" s="517"/>
      <c r="Y23" s="517"/>
      <c r="Z23" s="517"/>
      <c r="AA23" s="15"/>
      <c r="AB23" s="15"/>
    </row>
    <row r="24" spans="1:30" ht="12" customHeight="1">
      <c r="A24" s="896" t="s">
        <v>281</v>
      </c>
      <c r="B24" s="896"/>
      <c r="C24" s="836"/>
      <c r="D24" s="517"/>
      <c r="E24" s="517"/>
      <c r="F24" s="517"/>
      <c r="G24" s="517"/>
      <c r="H24" s="517"/>
      <c r="I24" s="517"/>
      <c r="J24" s="517"/>
      <c r="K24" s="517"/>
      <c r="L24" s="517"/>
      <c r="M24" s="517"/>
      <c r="N24" s="849"/>
      <c r="O24" s="836"/>
      <c r="P24" s="517"/>
      <c r="Q24" s="517"/>
      <c r="R24" s="517"/>
      <c r="S24" s="517"/>
      <c r="T24" s="517"/>
      <c r="U24" s="517"/>
      <c r="V24" s="517"/>
      <c r="W24" s="517"/>
      <c r="X24" s="517"/>
      <c r="Y24" s="517"/>
      <c r="Z24" s="517"/>
      <c r="AA24" s="15"/>
      <c r="AB24" s="15"/>
    </row>
    <row r="25" spans="1:30" ht="12" customHeight="1">
      <c r="A25" s="896" t="s">
        <v>283</v>
      </c>
      <c r="B25" s="896"/>
      <c r="C25" s="836"/>
      <c r="D25" s="517"/>
      <c r="E25" s="517"/>
      <c r="F25" s="517"/>
      <c r="G25" s="517"/>
      <c r="H25" s="517"/>
      <c r="I25" s="517"/>
      <c r="J25" s="517"/>
      <c r="K25" s="517"/>
      <c r="L25" s="517"/>
      <c r="M25" s="517"/>
      <c r="N25" s="849"/>
      <c r="O25" s="836"/>
      <c r="P25" s="517"/>
      <c r="Q25" s="517"/>
      <c r="R25" s="517"/>
      <c r="S25" s="517"/>
      <c r="T25" s="517"/>
      <c r="U25" s="517"/>
      <c r="V25" s="517"/>
      <c r="W25" s="517"/>
      <c r="X25" s="517"/>
      <c r="Y25" s="517"/>
      <c r="Z25" s="517"/>
      <c r="AA25" s="15"/>
      <c r="AB25" s="15"/>
    </row>
    <row r="26" spans="1:30" ht="12" customHeight="1">
      <c r="A26" s="896" t="s">
        <v>656</v>
      </c>
      <c r="B26" s="896"/>
      <c r="C26" s="836"/>
      <c r="D26" s="517"/>
      <c r="E26" s="517"/>
      <c r="F26" s="517"/>
      <c r="G26" s="517"/>
      <c r="H26" s="517"/>
      <c r="I26" s="517"/>
      <c r="J26" s="517"/>
      <c r="K26" s="517"/>
      <c r="L26" s="517"/>
      <c r="M26" s="517"/>
      <c r="N26" s="849"/>
      <c r="O26" s="836"/>
      <c r="P26" s="517"/>
      <c r="Q26" s="517"/>
      <c r="R26" s="517"/>
      <c r="S26" s="517"/>
      <c r="T26" s="517"/>
      <c r="U26" s="517"/>
      <c r="V26" s="517"/>
      <c r="W26" s="517"/>
      <c r="X26" s="517"/>
      <c r="Y26" s="517"/>
      <c r="Z26" s="517"/>
      <c r="AA26" s="15"/>
      <c r="AB26" s="15"/>
    </row>
    <row r="27" spans="1:30" s="914" customFormat="1" ht="12" customHeight="1">
      <c r="A27" s="896"/>
      <c r="B27" s="896"/>
      <c r="C27" s="835"/>
      <c r="D27" s="517"/>
      <c r="E27" s="517"/>
      <c r="F27" s="517"/>
      <c r="G27" s="517"/>
      <c r="H27" s="517"/>
      <c r="I27" s="517"/>
      <c r="J27" s="517"/>
      <c r="K27" s="517"/>
      <c r="L27" s="517"/>
      <c r="M27" s="517"/>
      <c r="N27" s="982"/>
      <c r="O27" s="835"/>
      <c r="P27" s="517"/>
      <c r="Q27" s="517"/>
      <c r="R27" s="517"/>
      <c r="S27" s="517"/>
      <c r="T27" s="517"/>
      <c r="U27" s="517"/>
      <c r="V27" s="517"/>
      <c r="W27" s="517"/>
      <c r="X27" s="517"/>
      <c r="Y27" s="517"/>
      <c r="Z27" s="517"/>
      <c r="AA27" s="15"/>
      <c r="AB27" s="15"/>
    </row>
    <row r="28" spans="1:30" s="914" customFormat="1" ht="12" customHeight="1">
      <c r="A28" s="896"/>
      <c r="B28" s="896"/>
      <c r="C28" s="835"/>
      <c r="D28" s="404"/>
      <c r="E28" s="517"/>
      <c r="F28" s="517"/>
      <c r="G28" s="517"/>
      <c r="H28" s="517"/>
      <c r="I28" s="517"/>
      <c r="J28" s="517"/>
      <c r="K28" s="517"/>
      <c r="L28" s="517"/>
      <c r="M28" s="517"/>
      <c r="N28" s="982"/>
      <c r="O28" s="835"/>
      <c r="P28" s="517"/>
      <c r="Q28" s="517"/>
      <c r="R28" s="517"/>
      <c r="S28" s="517"/>
      <c r="T28" s="517"/>
      <c r="U28" s="517"/>
      <c r="V28" s="517"/>
      <c r="W28" s="517"/>
      <c r="X28" s="517"/>
      <c r="Y28" s="517"/>
      <c r="Z28" s="517"/>
      <c r="AA28" s="15"/>
      <c r="AB28" s="15"/>
    </row>
    <row r="29" spans="1:30" s="914" customFormat="1" ht="12" customHeight="1">
      <c r="A29" s="896"/>
      <c r="B29" s="896"/>
      <c r="C29" s="835"/>
      <c r="D29" s="517"/>
      <c r="E29" s="517"/>
      <c r="F29" s="517"/>
      <c r="G29" s="517"/>
      <c r="H29" s="517"/>
      <c r="I29" s="517"/>
      <c r="J29" s="517"/>
      <c r="K29" s="517"/>
      <c r="L29" s="517"/>
      <c r="M29" s="517"/>
      <c r="N29" s="982"/>
      <c r="O29" s="835"/>
      <c r="P29" s="517"/>
      <c r="Q29" s="517"/>
      <c r="R29" s="517"/>
      <c r="S29" s="517"/>
      <c r="T29" s="517"/>
      <c r="U29" s="517"/>
      <c r="V29" s="517"/>
      <c r="W29" s="517"/>
      <c r="X29" s="517"/>
      <c r="Y29" s="517"/>
      <c r="Z29" s="517"/>
      <c r="AA29" s="15"/>
      <c r="AB29" s="15"/>
    </row>
    <row r="30" spans="1:30" s="914" customFormat="1" ht="12" customHeight="1">
      <c r="A30" s="896"/>
      <c r="B30" s="896"/>
      <c r="C30" s="835"/>
      <c r="D30" s="517"/>
      <c r="E30" s="517"/>
      <c r="F30" s="517"/>
      <c r="G30" s="517"/>
      <c r="H30" s="517"/>
      <c r="I30" s="517"/>
      <c r="J30" s="517"/>
      <c r="K30" s="517"/>
      <c r="L30" s="517"/>
      <c r="M30" s="517"/>
      <c r="N30" s="982"/>
      <c r="O30" s="835"/>
      <c r="P30" s="517"/>
      <c r="Q30" s="517"/>
      <c r="R30" s="517"/>
      <c r="S30" s="517"/>
      <c r="T30" s="517"/>
      <c r="U30" s="517"/>
      <c r="V30" s="517"/>
      <c r="W30" s="517"/>
      <c r="X30" s="517"/>
      <c r="Y30" s="517"/>
      <c r="Z30" s="517"/>
      <c r="AA30" s="15"/>
      <c r="AB30" s="15"/>
    </row>
    <row r="31" spans="1:30" ht="12" customHeight="1">
      <c r="A31" s="900" t="s">
        <v>289</v>
      </c>
      <c r="B31" s="900"/>
      <c r="C31" s="843">
        <f>SUM(C20:C30)</f>
        <v>0</v>
      </c>
      <c r="D31" s="843">
        <f t="shared" ref="D31:Z31" si="5">SUM(D20:D30)</f>
        <v>0</v>
      </c>
      <c r="E31" s="843">
        <f t="shared" si="5"/>
        <v>0</v>
      </c>
      <c r="F31" s="843">
        <f t="shared" si="5"/>
        <v>0</v>
      </c>
      <c r="G31" s="843">
        <f t="shared" si="5"/>
        <v>0</v>
      </c>
      <c r="H31" s="843">
        <f t="shared" si="5"/>
        <v>0</v>
      </c>
      <c r="I31" s="843">
        <f t="shared" si="5"/>
        <v>0</v>
      </c>
      <c r="J31" s="843">
        <f t="shared" si="5"/>
        <v>0</v>
      </c>
      <c r="K31" s="843">
        <f t="shared" si="5"/>
        <v>0</v>
      </c>
      <c r="L31" s="843">
        <f t="shared" si="5"/>
        <v>0</v>
      </c>
      <c r="M31" s="843">
        <f t="shared" si="5"/>
        <v>0</v>
      </c>
      <c r="N31" s="843">
        <f t="shared" si="5"/>
        <v>0</v>
      </c>
      <c r="O31" s="843">
        <f t="shared" si="5"/>
        <v>0</v>
      </c>
      <c r="P31" s="843">
        <f t="shared" si="5"/>
        <v>0</v>
      </c>
      <c r="Q31" s="843">
        <f t="shared" si="5"/>
        <v>0</v>
      </c>
      <c r="R31" s="843">
        <f t="shared" si="5"/>
        <v>0</v>
      </c>
      <c r="S31" s="843">
        <f t="shared" si="5"/>
        <v>0</v>
      </c>
      <c r="T31" s="843">
        <f t="shared" si="5"/>
        <v>0</v>
      </c>
      <c r="U31" s="843">
        <f t="shared" si="5"/>
        <v>0</v>
      </c>
      <c r="V31" s="843">
        <f t="shared" si="5"/>
        <v>0</v>
      </c>
      <c r="W31" s="843">
        <f t="shared" si="5"/>
        <v>0</v>
      </c>
      <c r="X31" s="843">
        <f t="shared" si="5"/>
        <v>0</v>
      </c>
      <c r="Y31" s="843">
        <f t="shared" si="5"/>
        <v>0</v>
      </c>
      <c r="Z31" s="843">
        <f t="shared" si="5"/>
        <v>0</v>
      </c>
    </row>
    <row r="32" spans="1:30" ht="12" customHeight="1">
      <c r="B32" s="524"/>
      <c r="M32" s="808"/>
    </row>
    <row r="33" spans="2:2" ht="12" customHeight="1">
      <c r="B33" s="524"/>
    </row>
    <row r="34" spans="2:2" ht="12" customHeight="1">
      <c r="B34" s="524"/>
    </row>
    <row r="35" spans="2:2" ht="12" customHeight="1">
      <c r="B35" s="524"/>
    </row>
    <row r="36" spans="2:2" ht="12" customHeight="1">
      <c r="B36" s="524"/>
    </row>
    <row r="37" spans="2:2" ht="12" customHeight="1">
      <c r="B37" s="524"/>
    </row>
    <row r="38" spans="2:2" ht="12" customHeight="1">
      <c r="B38" s="524"/>
    </row>
    <row r="39" spans="2:2" ht="12" customHeight="1">
      <c r="B39" s="524"/>
    </row>
    <row r="40" spans="2:2" ht="12" customHeight="1">
      <c r="B40" s="524"/>
    </row>
    <row r="41" spans="2:2" ht="12" customHeight="1">
      <c r="B41" s="524"/>
    </row>
    <row r="42" spans="2:2" ht="12" customHeight="1">
      <c r="B42" s="524"/>
    </row>
    <row r="43" spans="2:2" ht="12" customHeight="1">
      <c r="B43" s="524"/>
    </row>
    <row r="44" spans="2:2" ht="12" customHeight="1">
      <c r="B44" s="524"/>
    </row>
    <row r="45" spans="2:2" ht="12" customHeight="1">
      <c r="B45" s="524"/>
    </row>
    <row r="46" spans="2:2" ht="12" customHeight="1">
      <c r="B46" s="524"/>
    </row>
    <row r="47" spans="2:2" ht="12" customHeight="1">
      <c r="B47" s="524"/>
    </row>
    <row r="48" spans="2:2" ht="12" customHeight="1">
      <c r="B48" s="524"/>
    </row>
    <row r="49" spans="2:2" ht="12" customHeight="1">
      <c r="B49" s="524"/>
    </row>
    <row r="50" spans="2:2" ht="12" customHeight="1">
      <c r="B50" s="524"/>
    </row>
    <row r="51" spans="2:2" ht="12" customHeight="1">
      <c r="B51" s="524"/>
    </row>
    <row r="52" spans="2:2" ht="12" customHeight="1">
      <c r="B52" s="524"/>
    </row>
    <row r="53" spans="2:2" ht="12" customHeight="1">
      <c r="B53" s="524"/>
    </row>
    <row r="54" spans="2:2" ht="12" customHeight="1">
      <c r="B54" s="524"/>
    </row>
    <row r="55" spans="2:2" ht="12" customHeight="1">
      <c r="B55" s="524"/>
    </row>
    <row r="56" spans="2:2" ht="12" customHeight="1">
      <c r="B56" s="524"/>
    </row>
    <row r="57" spans="2:2" ht="12" customHeight="1">
      <c r="B57" s="524"/>
    </row>
    <row r="58" spans="2:2" ht="12" customHeight="1">
      <c r="B58" s="524"/>
    </row>
    <row r="59" spans="2:2" ht="12" customHeight="1">
      <c r="B59" s="524"/>
    </row>
    <row r="60" spans="2:2" ht="12" customHeight="1">
      <c r="B60" s="524"/>
    </row>
    <row r="61" spans="2:2" ht="12" customHeight="1">
      <c r="B61" s="524"/>
    </row>
    <row r="62" spans="2:2" ht="12" customHeight="1">
      <c r="B62" s="524"/>
    </row>
    <row r="63" spans="2:2" ht="12" customHeight="1">
      <c r="B63" s="524"/>
    </row>
    <row r="64" spans="2:2" ht="12" customHeight="1">
      <c r="B64" s="524"/>
    </row>
    <row r="65" spans="2:2" ht="12" customHeight="1">
      <c r="B65" s="524"/>
    </row>
    <row r="66" spans="2:2" ht="12" customHeight="1">
      <c r="B66" s="524"/>
    </row>
    <row r="67" spans="2:2" ht="12" customHeight="1">
      <c r="B67" s="524"/>
    </row>
    <row r="68" spans="2:2" ht="12" customHeight="1">
      <c r="B68" s="524"/>
    </row>
    <row r="69" spans="2:2" ht="12" customHeight="1">
      <c r="B69" s="524"/>
    </row>
    <row r="70" spans="2:2" ht="12" customHeight="1">
      <c r="B70" s="524"/>
    </row>
    <row r="71" spans="2:2" ht="12" customHeight="1">
      <c r="B71" s="524"/>
    </row>
    <row r="72" spans="2:2" ht="12" customHeight="1">
      <c r="B72" s="524"/>
    </row>
    <row r="73" spans="2:2" ht="12" customHeight="1">
      <c r="B73" s="524"/>
    </row>
    <row r="74" spans="2:2" ht="12" customHeight="1">
      <c r="B74" s="524"/>
    </row>
    <row r="75" spans="2:2" ht="12" customHeight="1">
      <c r="B75" s="524"/>
    </row>
    <row r="76" spans="2:2" ht="12" customHeight="1">
      <c r="B76" s="524"/>
    </row>
    <row r="77" spans="2:2" ht="12" customHeight="1">
      <c r="B77" s="524"/>
    </row>
    <row r="78" spans="2:2" ht="12" customHeight="1">
      <c r="B78" s="524"/>
    </row>
    <row r="79" spans="2:2" ht="12" customHeight="1">
      <c r="B79" s="524"/>
    </row>
    <row r="80" spans="2:2" ht="12" customHeight="1">
      <c r="B80" s="524"/>
    </row>
    <row r="81" spans="2:2" ht="12" customHeight="1">
      <c r="B81" s="524"/>
    </row>
    <row r="82" spans="2:2" ht="12" customHeight="1">
      <c r="B82" s="524"/>
    </row>
    <row r="83" spans="2:2" ht="12" customHeight="1">
      <c r="B83" s="524"/>
    </row>
    <row r="84" spans="2:2" ht="12" customHeight="1">
      <c r="B84" s="524"/>
    </row>
    <row r="85" spans="2:2" ht="12" customHeight="1">
      <c r="B85" s="524"/>
    </row>
    <row r="86" spans="2:2" ht="12" customHeight="1">
      <c r="B86" s="524"/>
    </row>
    <row r="87" spans="2:2" ht="12" customHeight="1">
      <c r="B87" s="524"/>
    </row>
    <row r="88" spans="2:2" ht="12" customHeight="1">
      <c r="B88" s="524"/>
    </row>
    <row r="89" spans="2:2" ht="12" customHeight="1">
      <c r="B89" s="524"/>
    </row>
    <row r="90" spans="2:2" ht="12" customHeight="1">
      <c r="B90" s="524"/>
    </row>
    <row r="91" spans="2:2" ht="12" customHeight="1">
      <c r="B91" s="524"/>
    </row>
    <row r="92" spans="2:2" ht="12" customHeight="1">
      <c r="B92" s="524"/>
    </row>
    <row r="93" spans="2:2" ht="12" customHeight="1">
      <c r="B93" s="524"/>
    </row>
    <row r="94" spans="2:2" ht="12" customHeight="1">
      <c r="B94" s="524"/>
    </row>
    <row r="95" spans="2:2" ht="12" customHeight="1">
      <c r="B95" s="524"/>
    </row>
    <row r="96" spans="2:2" ht="12" customHeight="1">
      <c r="B96" s="524"/>
    </row>
    <row r="97" spans="2:2" ht="12" customHeight="1">
      <c r="B97" s="524"/>
    </row>
    <row r="98" spans="2:2" ht="12" customHeight="1">
      <c r="B98" s="524"/>
    </row>
    <row r="99" spans="2:2" ht="12" customHeight="1">
      <c r="B99" s="524"/>
    </row>
    <row r="100" spans="2:2" ht="12" customHeight="1">
      <c r="B100" s="524"/>
    </row>
    <row r="101" spans="2:2" ht="12" customHeight="1">
      <c r="B101" s="524"/>
    </row>
    <row r="102" spans="2:2" ht="12" customHeight="1">
      <c r="B102" s="524"/>
    </row>
    <row r="103" spans="2:2" ht="12" customHeight="1">
      <c r="B103" s="524"/>
    </row>
    <row r="104" spans="2:2" ht="12" customHeight="1">
      <c r="B104" s="524"/>
    </row>
    <row r="105" spans="2:2" ht="12" customHeight="1">
      <c r="B105" s="524"/>
    </row>
    <row r="106" spans="2:2" ht="12" customHeight="1">
      <c r="B106" s="524"/>
    </row>
    <row r="107" spans="2:2" ht="12" customHeight="1">
      <c r="B107" s="524"/>
    </row>
    <row r="108" spans="2:2" ht="12" customHeight="1">
      <c r="B108" s="524"/>
    </row>
    <row r="109" spans="2:2" ht="12" customHeight="1">
      <c r="B109" s="524"/>
    </row>
    <row r="110" spans="2:2" ht="12" customHeight="1">
      <c r="B110" s="524"/>
    </row>
    <row r="111" spans="2:2" ht="12" customHeight="1">
      <c r="B111" s="524"/>
    </row>
    <row r="112" spans="2:2" ht="12" customHeight="1">
      <c r="B112" s="524"/>
    </row>
    <row r="113" spans="2:2" ht="12" customHeight="1">
      <c r="B113" s="524"/>
    </row>
    <row r="114" spans="2:2" ht="12" customHeight="1">
      <c r="B114" s="524"/>
    </row>
    <row r="115" spans="2:2" ht="12" customHeight="1">
      <c r="B115" s="524"/>
    </row>
    <row r="116" spans="2:2" ht="12" customHeight="1">
      <c r="B116" s="524"/>
    </row>
    <row r="117" spans="2:2" ht="12" customHeight="1">
      <c r="B117" s="524"/>
    </row>
    <row r="118" spans="2:2" ht="12" customHeight="1">
      <c r="B118" s="524"/>
    </row>
    <row r="119" spans="2:2" ht="12" customHeight="1">
      <c r="B119" s="524"/>
    </row>
    <row r="120" spans="2:2" ht="12" customHeight="1">
      <c r="B120" s="524"/>
    </row>
    <row r="121" spans="2:2" ht="12" customHeight="1">
      <c r="B121" s="524"/>
    </row>
    <row r="122" spans="2:2" ht="12" customHeight="1">
      <c r="B122" s="524"/>
    </row>
    <row r="123" spans="2:2" ht="12" customHeight="1">
      <c r="B123" s="524"/>
    </row>
    <row r="124" spans="2:2" ht="12" customHeight="1">
      <c r="B124" s="524"/>
    </row>
    <row r="125" spans="2:2" ht="12" customHeight="1">
      <c r="B125" s="524"/>
    </row>
    <row r="126" spans="2:2" ht="12" customHeight="1">
      <c r="B126" s="524"/>
    </row>
    <row r="127" spans="2:2" ht="12" customHeight="1">
      <c r="B127" s="524"/>
    </row>
    <row r="128" spans="2:2" ht="12" customHeight="1">
      <c r="B128" s="524"/>
    </row>
    <row r="129" spans="2:2" ht="12" customHeight="1">
      <c r="B129" s="524"/>
    </row>
    <row r="130" spans="2:2" ht="12" customHeight="1">
      <c r="B130" s="524"/>
    </row>
    <row r="131" spans="2:2" ht="12" customHeight="1">
      <c r="B131" s="524"/>
    </row>
    <row r="132" spans="2:2" ht="12" customHeight="1">
      <c r="B132" s="524"/>
    </row>
    <row r="133" spans="2:2" ht="12" customHeight="1">
      <c r="B133" s="524"/>
    </row>
    <row r="134" spans="2:2" ht="12" customHeight="1">
      <c r="B134" s="524"/>
    </row>
    <row r="135" spans="2:2" ht="12" customHeight="1">
      <c r="B135" s="524"/>
    </row>
    <row r="136" spans="2:2" ht="12" customHeight="1">
      <c r="B136" s="524"/>
    </row>
    <row r="137" spans="2:2" ht="12" customHeight="1">
      <c r="B137" s="524"/>
    </row>
    <row r="138" spans="2:2" ht="12" customHeight="1">
      <c r="B138" s="524"/>
    </row>
    <row r="139" spans="2:2" ht="12" customHeight="1">
      <c r="B139" s="524"/>
    </row>
    <row r="140" spans="2:2" ht="12" customHeight="1">
      <c r="B140" s="524"/>
    </row>
    <row r="141" spans="2:2" ht="12" customHeight="1">
      <c r="B141" s="524"/>
    </row>
    <row r="142" spans="2:2" ht="12" customHeight="1">
      <c r="B142" s="524"/>
    </row>
    <row r="143" spans="2:2" ht="12" customHeight="1">
      <c r="B143" s="524"/>
    </row>
    <row r="144" spans="2:2" ht="12" customHeight="1">
      <c r="B144" s="524"/>
    </row>
    <row r="145" spans="2:2" ht="12" customHeight="1">
      <c r="B145" s="524"/>
    </row>
    <row r="146" spans="2:2" ht="12" customHeight="1">
      <c r="B146" s="524"/>
    </row>
    <row r="147" spans="2:2" ht="12" customHeight="1">
      <c r="B147" s="524"/>
    </row>
    <row r="148" spans="2:2" ht="12" customHeight="1">
      <c r="B148" s="524"/>
    </row>
    <row r="149" spans="2:2" ht="12" customHeight="1">
      <c r="B149" s="524"/>
    </row>
    <row r="150" spans="2:2" ht="12" customHeight="1">
      <c r="B150" s="524"/>
    </row>
    <row r="151" spans="2:2" ht="12" customHeight="1">
      <c r="B151" s="524"/>
    </row>
    <row r="152" spans="2:2" ht="12" customHeight="1">
      <c r="B152" s="524"/>
    </row>
    <row r="153" spans="2:2" ht="12" customHeight="1">
      <c r="B153" s="524"/>
    </row>
    <row r="154" spans="2:2" ht="12" customHeight="1">
      <c r="B154" s="524"/>
    </row>
    <row r="155" spans="2:2" ht="12" customHeight="1">
      <c r="B155" s="524"/>
    </row>
    <row r="156" spans="2:2" ht="12" customHeight="1">
      <c r="B156" s="524"/>
    </row>
    <row r="157" spans="2:2" ht="12" customHeight="1">
      <c r="B157" s="524"/>
    </row>
    <row r="158" spans="2:2" ht="12" customHeight="1">
      <c r="B158" s="524"/>
    </row>
    <row r="159" spans="2:2" ht="12" customHeight="1">
      <c r="B159" s="524"/>
    </row>
    <row r="160" spans="2:2" ht="12" customHeight="1">
      <c r="B160" s="524"/>
    </row>
    <row r="161" spans="2:2" ht="12" customHeight="1">
      <c r="B161" s="524"/>
    </row>
    <row r="162" spans="2:2" ht="12" customHeight="1">
      <c r="B162" s="524"/>
    </row>
    <row r="163" spans="2:2" ht="12" customHeight="1">
      <c r="B163" s="524"/>
    </row>
    <row r="164" spans="2:2" ht="12" customHeight="1">
      <c r="B164" s="524"/>
    </row>
    <row r="165" spans="2:2" ht="12" customHeight="1">
      <c r="B165" s="524"/>
    </row>
    <row r="166" spans="2:2" ht="12" customHeight="1">
      <c r="B166" s="524"/>
    </row>
    <row r="167" spans="2:2" ht="12" customHeight="1">
      <c r="B167" s="524"/>
    </row>
    <row r="168" spans="2:2" ht="12" customHeight="1">
      <c r="B168" s="524"/>
    </row>
    <row r="169" spans="2:2" ht="12" customHeight="1">
      <c r="B169" s="524"/>
    </row>
    <row r="170" spans="2:2" ht="12" customHeight="1">
      <c r="B170" s="524"/>
    </row>
    <row r="171" spans="2:2" ht="12" customHeight="1">
      <c r="B171" s="524"/>
    </row>
    <row r="172" spans="2:2" ht="12" customHeight="1">
      <c r="B172" s="524"/>
    </row>
    <row r="173" spans="2:2" ht="12" customHeight="1">
      <c r="B173" s="524"/>
    </row>
    <row r="174" spans="2:2" ht="12" customHeight="1">
      <c r="B174" s="524"/>
    </row>
    <row r="175" spans="2:2" ht="12" customHeight="1">
      <c r="B175" s="524"/>
    </row>
    <row r="176" spans="2:2" ht="12" customHeight="1">
      <c r="B176" s="524"/>
    </row>
    <row r="177" spans="2:2" ht="12" customHeight="1">
      <c r="B177" s="524"/>
    </row>
    <row r="178" spans="2:2" ht="12" customHeight="1">
      <c r="B178" s="524"/>
    </row>
    <row r="179" spans="2:2" ht="12" customHeight="1">
      <c r="B179" s="524"/>
    </row>
    <row r="180" spans="2:2" ht="12" customHeight="1">
      <c r="B180" s="524"/>
    </row>
    <row r="181" spans="2:2" ht="12" customHeight="1">
      <c r="B181" s="524"/>
    </row>
    <row r="182" spans="2:2" ht="12" customHeight="1">
      <c r="B182" s="524"/>
    </row>
    <row r="183" spans="2:2" ht="12" customHeight="1">
      <c r="B183" s="524"/>
    </row>
    <row r="184" spans="2:2" ht="12" customHeight="1">
      <c r="B184" s="524"/>
    </row>
    <row r="185" spans="2:2" ht="12" customHeight="1">
      <c r="B185" s="524"/>
    </row>
    <row r="186" spans="2:2" ht="12" customHeight="1">
      <c r="B186" s="524"/>
    </row>
    <row r="187" spans="2:2" ht="12" customHeight="1">
      <c r="B187" s="524"/>
    </row>
    <row r="188" spans="2:2" ht="12" customHeight="1">
      <c r="B188" s="524"/>
    </row>
    <row r="189" spans="2:2" ht="12" customHeight="1">
      <c r="B189" s="524"/>
    </row>
    <row r="190" spans="2:2" ht="12" customHeight="1">
      <c r="B190" s="524"/>
    </row>
    <row r="191" spans="2:2" ht="12" customHeight="1">
      <c r="B191" s="524"/>
    </row>
    <row r="192" spans="2:2" ht="12" customHeight="1">
      <c r="B192" s="524"/>
    </row>
    <row r="193" spans="2:2" ht="12" customHeight="1">
      <c r="B193" s="524"/>
    </row>
    <row r="194" spans="2:2" ht="12" customHeight="1">
      <c r="B194" s="524"/>
    </row>
    <row r="195" spans="2:2" ht="12" customHeight="1">
      <c r="B195" s="524"/>
    </row>
    <row r="196" spans="2:2" ht="12" customHeight="1">
      <c r="B196" s="524"/>
    </row>
    <row r="197" spans="2:2" ht="12" customHeight="1">
      <c r="B197" s="524"/>
    </row>
    <row r="198" spans="2:2" ht="12" customHeight="1">
      <c r="B198" s="524"/>
    </row>
    <row r="199" spans="2:2" ht="12" customHeight="1">
      <c r="B199" s="524"/>
    </row>
    <row r="200" spans="2:2" ht="12" customHeight="1">
      <c r="B200" s="524"/>
    </row>
    <row r="201" spans="2:2" ht="12" customHeight="1">
      <c r="B201" s="524"/>
    </row>
    <row r="202" spans="2:2" ht="12" customHeight="1">
      <c r="B202" s="524"/>
    </row>
    <row r="203" spans="2:2" ht="12" customHeight="1">
      <c r="B203" s="524"/>
    </row>
    <row r="204" spans="2:2" ht="12" customHeight="1">
      <c r="B204" s="524"/>
    </row>
    <row r="205" spans="2:2" ht="12" customHeight="1">
      <c r="B205" s="524"/>
    </row>
    <row r="206" spans="2:2" ht="12" customHeight="1">
      <c r="B206" s="524"/>
    </row>
    <row r="207" spans="2:2" ht="12" customHeight="1">
      <c r="B207" s="524"/>
    </row>
    <row r="208" spans="2:2" ht="12" customHeight="1">
      <c r="B208" s="524"/>
    </row>
    <row r="209" spans="2:2" ht="12" customHeight="1">
      <c r="B209" s="524"/>
    </row>
    <row r="210" spans="2:2" ht="12" customHeight="1">
      <c r="B210" s="524"/>
    </row>
    <row r="211" spans="2:2" ht="12" customHeight="1">
      <c r="B211" s="524"/>
    </row>
    <row r="212" spans="2:2" ht="12" customHeight="1">
      <c r="B212" s="524"/>
    </row>
    <row r="213" spans="2:2" ht="12" customHeight="1">
      <c r="B213" s="524"/>
    </row>
    <row r="214" spans="2:2" ht="12" customHeight="1">
      <c r="B214" s="524"/>
    </row>
    <row r="215" spans="2:2" ht="12" customHeight="1">
      <c r="B215" s="524"/>
    </row>
    <row r="216" spans="2:2" ht="12" customHeight="1">
      <c r="B216" s="524"/>
    </row>
    <row r="217" spans="2:2" ht="12" customHeight="1">
      <c r="B217" s="524"/>
    </row>
    <row r="218" spans="2:2" ht="12" customHeight="1">
      <c r="B218" s="524"/>
    </row>
    <row r="219" spans="2:2" ht="12" customHeight="1">
      <c r="B219" s="524"/>
    </row>
    <row r="220" spans="2:2" ht="12" customHeight="1">
      <c r="B220" s="524"/>
    </row>
    <row r="221" spans="2:2" ht="12" customHeight="1">
      <c r="B221" s="524"/>
    </row>
    <row r="222" spans="2:2" ht="12" customHeight="1">
      <c r="B222" s="524"/>
    </row>
    <row r="223" spans="2:2" ht="12" customHeight="1">
      <c r="B223" s="524"/>
    </row>
    <row r="224" spans="2:2" ht="12" customHeight="1">
      <c r="B224" s="524"/>
    </row>
    <row r="225" spans="2:2" ht="12" customHeight="1">
      <c r="B225" s="524"/>
    </row>
    <row r="226" spans="2:2" ht="12" customHeight="1">
      <c r="B226" s="524"/>
    </row>
    <row r="227" spans="2:2" ht="12" customHeight="1">
      <c r="B227" s="524"/>
    </row>
    <row r="228" spans="2:2" ht="12" customHeight="1">
      <c r="B228" s="524"/>
    </row>
    <row r="229" spans="2:2" ht="12" customHeight="1">
      <c r="B229" s="524"/>
    </row>
    <row r="230" spans="2:2" ht="12" customHeight="1">
      <c r="B230" s="524"/>
    </row>
    <row r="231" spans="2:2" ht="12" customHeight="1">
      <c r="B231" s="524"/>
    </row>
    <row r="232" spans="2:2" ht="12" customHeight="1">
      <c r="B232" s="524"/>
    </row>
    <row r="233" spans="2:2" ht="12" customHeight="1">
      <c r="B233" s="524"/>
    </row>
    <row r="234" spans="2:2" ht="12" customHeight="1">
      <c r="B234" s="524"/>
    </row>
    <row r="235" spans="2:2" ht="12" customHeight="1">
      <c r="B235" s="524"/>
    </row>
    <row r="236" spans="2:2" ht="12" customHeight="1">
      <c r="B236" s="524"/>
    </row>
    <row r="237" spans="2:2" ht="12" customHeight="1">
      <c r="B237" s="524"/>
    </row>
    <row r="238" spans="2:2" ht="12" customHeight="1">
      <c r="B238" s="524"/>
    </row>
    <row r="239" spans="2:2" ht="12" customHeight="1">
      <c r="B239" s="524"/>
    </row>
    <row r="240" spans="2:2" ht="12" customHeight="1">
      <c r="B240" s="524"/>
    </row>
    <row r="241" spans="2:2" ht="12" customHeight="1">
      <c r="B241" s="524"/>
    </row>
    <row r="242" spans="2:2" ht="12" customHeight="1">
      <c r="B242" s="524"/>
    </row>
    <row r="243" spans="2:2" ht="12" customHeight="1">
      <c r="B243" s="524"/>
    </row>
    <row r="244" spans="2:2" ht="12" customHeight="1">
      <c r="B244" s="524"/>
    </row>
    <row r="245" spans="2:2" ht="12" customHeight="1">
      <c r="B245" s="524"/>
    </row>
    <row r="246" spans="2:2" ht="12" customHeight="1">
      <c r="B246" s="524"/>
    </row>
    <row r="247" spans="2:2" ht="12" customHeight="1">
      <c r="B247" s="524"/>
    </row>
    <row r="248" spans="2:2" ht="12" customHeight="1">
      <c r="B248" s="524"/>
    </row>
    <row r="249" spans="2:2" ht="12" customHeight="1">
      <c r="B249" s="524"/>
    </row>
    <row r="250" spans="2:2" ht="12" customHeight="1">
      <c r="B250" s="524"/>
    </row>
    <row r="251" spans="2:2" ht="12" customHeight="1">
      <c r="B251" s="524"/>
    </row>
    <row r="252" spans="2:2" ht="12" customHeight="1">
      <c r="B252" s="524"/>
    </row>
    <row r="253" spans="2:2" ht="12" customHeight="1">
      <c r="B253" s="524"/>
    </row>
    <row r="254" spans="2:2" ht="12" customHeight="1">
      <c r="B254" s="524"/>
    </row>
    <row r="255" spans="2:2" ht="12" customHeight="1">
      <c r="B255" s="524"/>
    </row>
    <row r="256" spans="2:2" ht="12" customHeight="1">
      <c r="B256" s="524"/>
    </row>
    <row r="257" spans="2:2" ht="12" customHeight="1">
      <c r="B257" s="524"/>
    </row>
    <row r="258" spans="2:2" ht="12" customHeight="1">
      <c r="B258" s="524"/>
    </row>
    <row r="259" spans="2:2" ht="12" customHeight="1">
      <c r="B259" s="524"/>
    </row>
    <row r="260" spans="2:2" ht="12" customHeight="1">
      <c r="B260" s="524"/>
    </row>
    <row r="261" spans="2:2" ht="12" customHeight="1">
      <c r="B261" s="524"/>
    </row>
    <row r="262" spans="2:2" ht="12" customHeight="1">
      <c r="B262" s="524"/>
    </row>
    <row r="263" spans="2:2" ht="12" customHeight="1">
      <c r="B263" s="524"/>
    </row>
    <row r="264" spans="2:2" ht="12" customHeight="1">
      <c r="B264" s="524"/>
    </row>
    <row r="265" spans="2:2" ht="12" customHeight="1">
      <c r="B265" s="524"/>
    </row>
    <row r="266" spans="2:2" ht="12" customHeight="1">
      <c r="B266" s="524"/>
    </row>
    <row r="267" spans="2:2" ht="12" customHeight="1">
      <c r="B267" s="524"/>
    </row>
    <row r="268" spans="2:2" ht="12" customHeight="1">
      <c r="B268" s="524"/>
    </row>
    <row r="269" spans="2:2" ht="12" customHeight="1">
      <c r="B269" s="524"/>
    </row>
    <row r="270" spans="2:2" ht="12" customHeight="1">
      <c r="B270" s="524"/>
    </row>
    <row r="271" spans="2:2" ht="12" customHeight="1">
      <c r="B271" s="524"/>
    </row>
    <row r="272" spans="2:2" ht="12" customHeight="1">
      <c r="B272" s="524"/>
    </row>
    <row r="273" spans="2:2" ht="12" customHeight="1">
      <c r="B273" s="524"/>
    </row>
    <row r="274" spans="2:2" ht="12" customHeight="1">
      <c r="B274" s="524"/>
    </row>
    <row r="275" spans="2:2" ht="12" customHeight="1">
      <c r="B275" s="524"/>
    </row>
    <row r="276" spans="2:2" ht="12" customHeight="1">
      <c r="B276" s="524"/>
    </row>
    <row r="277" spans="2:2" ht="12" customHeight="1">
      <c r="B277" s="524"/>
    </row>
    <row r="278" spans="2:2" ht="12" customHeight="1">
      <c r="B278" s="524"/>
    </row>
    <row r="279" spans="2:2" ht="12" customHeight="1">
      <c r="B279" s="524"/>
    </row>
    <row r="280" spans="2:2" ht="12" customHeight="1">
      <c r="B280" s="524"/>
    </row>
    <row r="281" spans="2:2" ht="12" customHeight="1">
      <c r="B281" s="524"/>
    </row>
    <row r="282" spans="2:2" ht="12" customHeight="1">
      <c r="B282" s="524"/>
    </row>
    <row r="283" spans="2:2" ht="12" customHeight="1">
      <c r="B283" s="524"/>
    </row>
    <row r="284" spans="2:2" ht="12" customHeight="1">
      <c r="B284" s="524"/>
    </row>
    <row r="285" spans="2:2" ht="12" customHeight="1">
      <c r="B285" s="524"/>
    </row>
    <row r="286" spans="2:2" ht="12" customHeight="1">
      <c r="B286" s="524"/>
    </row>
    <row r="287" spans="2:2" ht="12" customHeight="1">
      <c r="B287" s="524"/>
    </row>
    <row r="288" spans="2:2" ht="12" customHeight="1">
      <c r="B288" s="524"/>
    </row>
    <row r="289" spans="2:2" ht="12" customHeight="1">
      <c r="B289" s="524"/>
    </row>
    <row r="290" spans="2:2" ht="12" customHeight="1">
      <c r="B290" s="524"/>
    </row>
    <row r="291" spans="2:2" ht="12" customHeight="1">
      <c r="B291" s="524"/>
    </row>
    <row r="292" spans="2:2" ht="12" customHeight="1">
      <c r="B292" s="524"/>
    </row>
    <row r="293" spans="2:2" ht="12" customHeight="1">
      <c r="B293" s="524"/>
    </row>
    <row r="294" spans="2:2" ht="12" customHeight="1">
      <c r="B294" s="524"/>
    </row>
    <row r="295" spans="2:2" ht="12" customHeight="1">
      <c r="B295" s="524"/>
    </row>
    <row r="296" spans="2:2" ht="12" customHeight="1">
      <c r="B296" s="524"/>
    </row>
    <row r="297" spans="2:2" ht="12" customHeight="1">
      <c r="B297" s="524"/>
    </row>
    <row r="298" spans="2:2" ht="12" customHeight="1">
      <c r="B298" s="524"/>
    </row>
    <row r="299" spans="2:2" ht="12" customHeight="1">
      <c r="B299" s="524"/>
    </row>
    <row r="300" spans="2:2" ht="12" customHeight="1">
      <c r="B300" s="524"/>
    </row>
    <row r="301" spans="2:2" ht="12" customHeight="1">
      <c r="B301" s="524"/>
    </row>
    <row r="302" spans="2:2" ht="12" customHeight="1">
      <c r="B302" s="524"/>
    </row>
    <row r="303" spans="2:2" ht="12" customHeight="1">
      <c r="B303" s="524"/>
    </row>
    <row r="304" spans="2:2" ht="12" customHeight="1">
      <c r="B304" s="524"/>
    </row>
    <row r="305" spans="2:2" ht="12" customHeight="1">
      <c r="B305" s="524"/>
    </row>
    <row r="306" spans="2:2" ht="12" customHeight="1">
      <c r="B306" s="524"/>
    </row>
    <row r="307" spans="2:2" ht="12" customHeight="1">
      <c r="B307" s="524"/>
    </row>
    <row r="308" spans="2:2" ht="12" customHeight="1">
      <c r="B308" s="524"/>
    </row>
    <row r="309" spans="2:2" ht="12" customHeight="1">
      <c r="B309" s="524"/>
    </row>
    <row r="310" spans="2:2" ht="12" customHeight="1">
      <c r="B310" s="524"/>
    </row>
    <row r="311" spans="2:2" ht="12" customHeight="1">
      <c r="B311" s="524"/>
    </row>
    <row r="312" spans="2:2" ht="12" customHeight="1">
      <c r="B312" s="524"/>
    </row>
    <row r="313" spans="2:2" ht="12" customHeight="1">
      <c r="B313" s="524"/>
    </row>
    <row r="314" spans="2:2" ht="12" customHeight="1">
      <c r="B314" s="524"/>
    </row>
    <row r="315" spans="2:2" ht="12" customHeight="1">
      <c r="B315" s="524"/>
    </row>
    <row r="316" spans="2:2" ht="12" customHeight="1">
      <c r="B316" s="524"/>
    </row>
    <row r="317" spans="2:2" ht="12" customHeight="1">
      <c r="B317" s="524"/>
    </row>
    <row r="318" spans="2:2" ht="12" customHeight="1">
      <c r="B318" s="524"/>
    </row>
    <row r="319" spans="2:2" ht="12" customHeight="1">
      <c r="B319" s="524"/>
    </row>
    <row r="320" spans="2:2" ht="12" customHeight="1">
      <c r="B320" s="524"/>
    </row>
    <row r="321" spans="2:2" ht="12" customHeight="1">
      <c r="B321" s="524"/>
    </row>
    <row r="322" spans="2:2" ht="12" customHeight="1">
      <c r="B322" s="524"/>
    </row>
    <row r="323" spans="2:2" ht="12" customHeight="1">
      <c r="B323" s="524"/>
    </row>
    <row r="324" spans="2:2" ht="12" customHeight="1">
      <c r="B324" s="524"/>
    </row>
    <row r="325" spans="2:2" ht="12" customHeight="1">
      <c r="B325" s="524"/>
    </row>
    <row r="326" spans="2:2" ht="12" customHeight="1">
      <c r="B326" s="524"/>
    </row>
    <row r="327" spans="2:2" ht="12" customHeight="1">
      <c r="B327" s="524"/>
    </row>
    <row r="328" spans="2:2" ht="12" customHeight="1">
      <c r="B328" s="524"/>
    </row>
    <row r="329" spans="2:2" ht="12" customHeight="1">
      <c r="B329" s="524"/>
    </row>
    <row r="330" spans="2:2" ht="12" customHeight="1">
      <c r="B330" s="524"/>
    </row>
    <row r="331" spans="2:2" ht="12" customHeight="1">
      <c r="B331" s="524"/>
    </row>
    <row r="332" spans="2:2" ht="12" customHeight="1">
      <c r="B332" s="524"/>
    </row>
    <row r="333" spans="2:2" ht="12" customHeight="1">
      <c r="B333" s="524"/>
    </row>
    <row r="334" spans="2:2" ht="12" customHeight="1">
      <c r="B334" s="524"/>
    </row>
    <row r="335" spans="2:2" ht="12" customHeight="1">
      <c r="B335" s="524"/>
    </row>
    <row r="336" spans="2:2" ht="12" customHeight="1">
      <c r="B336" s="524"/>
    </row>
    <row r="337" spans="2:2" ht="12" customHeight="1">
      <c r="B337" s="524"/>
    </row>
    <row r="338" spans="2:2" ht="12" customHeight="1">
      <c r="B338" s="524"/>
    </row>
    <row r="339" spans="2:2" ht="12" customHeight="1">
      <c r="B339" s="524"/>
    </row>
    <row r="340" spans="2:2" ht="12" customHeight="1">
      <c r="B340" s="524"/>
    </row>
    <row r="341" spans="2:2" ht="12" customHeight="1">
      <c r="B341" s="524"/>
    </row>
    <row r="342" spans="2:2" ht="12" customHeight="1">
      <c r="B342" s="524"/>
    </row>
    <row r="343" spans="2:2" ht="12" customHeight="1">
      <c r="B343" s="524"/>
    </row>
    <row r="344" spans="2:2" ht="12" customHeight="1">
      <c r="B344" s="524"/>
    </row>
    <row r="345" spans="2:2" ht="12" customHeight="1">
      <c r="B345" s="524"/>
    </row>
    <row r="346" spans="2:2" ht="12" customHeight="1">
      <c r="B346" s="524"/>
    </row>
    <row r="347" spans="2:2" ht="12" customHeight="1">
      <c r="B347" s="524"/>
    </row>
    <row r="348" spans="2:2" ht="12" customHeight="1">
      <c r="B348" s="524"/>
    </row>
    <row r="349" spans="2:2" ht="12" customHeight="1">
      <c r="B349" s="524"/>
    </row>
    <row r="350" spans="2:2" ht="12" customHeight="1">
      <c r="B350" s="524"/>
    </row>
    <row r="351" spans="2:2" ht="12" customHeight="1">
      <c r="B351" s="524"/>
    </row>
    <row r="352" spans="2:2" ht="12" customHeight="1">
      <c r="B352" s="524"/>
    </row>
    <row r="353" spans="2:2" ht="12" customHeight="1">
      <c r="B353" s="524"/>
    </row>
    <row r="354" spans="2:2" ht="12" customHeight="1">
      <c r="B354" s="524"/>
    </row>
    <row r="355" spans="2:2" ht="12" customHeight="1">
      <c r="B355" s="524"/>
    </row>
    <row r="356" spans="2:2" ht="12" customHeight="1">
      <c r="B356" s="524"/>
    </row>
    <row r="357" spans="2:2" ht="12" customHeight="1">
      <c r="B357" s="524"/>
    </row>
    <row r="358" spans="2:2" ht="12" customHeight="1">
      <c r="B358" s="524"/>
    </row>
    <row r="359" spans="2:2" ht="12" customHeight="1">
      <c r="B359" s="524"/>
    </row>
    <row r="360" spans="2:2" ht="12" customHeight="1">
      <c r="B360" s="524"/>
    </row>
    <row r="361" spans="2:2" ht="12" customHeight="1">
      <c r="B361" s="524"/>
    </row>
    <row r="362" spans="2:2" ht="12" customHeight="1">
      <c r="B362" s="524"/>
    </row>
    <row r="363" spans="2:2" ht="12" customHeight="1">
      <c r="B363" s="524"/>
    </row>
    <row r="364" spans="2:2" ht="12" customHeight="1">
      <c r="B364" s="524"/>
    </row>
    <row r="365" spans="2:2" ht="12" customHeight="1">
      <c r="B365" s="524"/>
    </row>
    <row r="366" spans="2:2" ht="12" customHeight="1">
      <c r="B366" s="524"/>
    </row>
    <row r="367" spans="2:2" ht="12" customHeight="1">
      <c r="B367" s="524"/>
    </row>
    <row r="368" spans="2:2" ht="12" customHeight="1">
      <c r="B368" s="524"/>
    </row>
    <row r="369" spans="2:2" ht="12" customHeight="1">
      <c r="B369" s="524"/>
    </row>
    <row r="370" spans="2:2" ht="12" customHeight="1">
      <c r="B370" s="524"/>
    </row>
    <row r="371" spans="2:2" ht="12" customHeight="1">
      <c r="B371" s="524"/>
    </row>
    <row r="372" spans="2:2" ht="12" customHeight="1">
      <c r="B372" s="524"/>
    </row>
    <row r="373" spans="2:2" ht="12" customHeight="1">
      <c r="B373" s="524"/>
    </row>
    <row r="374" spans="2:2" ht="12" customHeight="1">
      <c r="B374" s="524"/>
    </row>
    <row r="375" spans="2:2" ht="12" customHeight="1">
      <c r="B375" s="524"/>
    </row>
    <row r="376" spans="2:2" ht="12" customHeight="1">
      <c r="B376" s="524"/>
    </row>
    <row r="377" spans="2:2" ht="12" customHeight="1">
      <c r="B377" s="524"/>
    </row>
    <row r="378" spans="2:2" ht="12" customHeight="1">
      <c r="B378" s="524"/>
    </row>
    <row r="379" spans="2:2" ht="12" customHeight="1">
      <c r="B379" s="524"/>
    </row>
    <row r="380" spans="2:2" ht="12" customHeight="1">
      <c r="B380" s="524"/>
    </row>
    <row r="381" spans="2:2" ht="12" customHeight="1">
      <c r="B381" s="524"/>
    </row>
    <row r="382" spans="2:2" ht="12" customHeight="1">
      <c r="B382" s="524"/>
    </row>
    <row r="383" spans="2:2" ht="12" customHeight="1">
      <c r="B383" s="524"/>
    </row>
    <row r="384" spans="2:2" ht="12" customHeight="1">
      <c r="B384" s="524"/>
    </row>
    <row r="385" spans="2:2" ht="12" customHeight="1">
      <c r="B385" s="524"/>
    </row>
    <row r="386" spans="2:2" ht="12" customHeight="1">
      <c r="B386" s="524"/>
    </row>
    <row r="387" spans="2:2" ht="12" customHeight="1">
      <c r="B387" s="524"/>
    </row>
    <row r="388" spans="2:2" ht="12" customHeight="1">
      <c r="B388" s="524"/>
    </row>
    <row r="389" spans="2:2" ht="12" customHeight="1">
      <c r="B389" s="524"/>
    </row>
    <row r="390" spans="2:2" ht="12" customHeight="1">
      <c r="B390" s="524"/>
    </row>
    <row r="391" spans="2:2" ht="12" customHeight="1">
      <c r="B391" s="524"/>
    </row>
    <row r="392" spans="2:2" ht="12" customHeight="1">
      <c r="B392" s="524"/>
    </row>
    <row r="393" spans="2:2" ht="12" customHeight="1">
      <c r="B393" s="524"/>
    </row>
    <row r="394" spans="2:2" ht="12" customHeight="1">
      <c r="B394" s="524"/>
    </row>
    <row r="395" spans="2:2" ht="12" customHeight="1">
      <c r="B395" s="524"/>
    </row>
    <row r="396" spans="2:2" ht="12" customHeight="1">
      <c r="B396" s="524"/>
    </row>
    <row r="397" spans="2:2" ht="12" customHeight="1">
      <c r="B397" s="524"/>
    </row>
    <row r="398" spans="2:2" ht="12" customHeight="1">
      <c r="B398" s="524"/>
    </row>
    <row r="399" spans="2:2" ht="12" customHeight="1">
      <c r="B399" s="524"/>
    </row>
    <row r="400" spans="2:2" ht="12" customHeight="1">
      <c r="B400" s="524"/>
    </row>
    <row r="401" spans="2:2" ht="12" customHeight="1">
      <c r="B401" s="524"/>
    </row>
    <row r="402" spans="2:2" ht="12" customHeight="1">
      <c r="B402" s="524"/>
    </row>
    <row r="403" spans="2:2" ht="12" customHeight="1">
      <c r="B403" s="524"/>
    </row>
    <row r="404" spans="2:2" ht="12" customHeight="1">
      <c r="B404" s="524"/>
    </row>
    <row r="405" spans="2:2" ht="12" customHeight="1">
      <c r="B405" s="524"/>
    </row>
    <row r="406" spans="2:2" ht="12" customHeight="1">
      <c r="B406" s="524"/>
    </row>
    <row r="407" spans="2:2" ht="12" customHeight="1">
      <c r="B407" s="524"/>
    </row>
    <row r="408" spans="2:2" ht="12" customHeight="1">
      <c r="B408" s="524"/>
    </row>
    <row r="409" spans="2:2" ht="12" customHeight="1">
      <c r="B409" s="524"/>
    </row>
    <row r="410" spans="2:2" ht="12" customHeight="1">
      <c r="B410" s="524"/>
    </row>
    <row r="411" spans="2:2" ht="12" customHeight="1">
      <c r="B411" s="524"/>
    </row>
    <row r="412" spans="2:2" ht="12" customHeight="1">
      <c r="B412" s="524"/>
    </row>
    <row r="413" spans="2:2" ht="12" customHeight="1">
      <c r="B413" s="524"/>
    </row>
    <row r="414" spans="2:2" ht="12" customHeight="1">
      <c r="B414" s="524"/>
    </row>
    <row r="415" spans="2:2" ht="12" customHeight="1">
      <c r="B415" s="524"/>
    </row>
    <row r="416" spans="2:2" ht="12" customHeight="1">
      <c r="B416" s="524"/>
    </row>
    <row r="417" spans="2:2" ht="12" customHeight="1">
      <c r="B417" s="524"/>
    </row>
    <row r="418" spans="2:2" ht="12" customHeight="1">
      <c r="B418" s="524"/>
    </row>
    <row r="419" spans="2:2" ht="12" customHeight="1">
      <c r="B419" s="524"/>
    </row>
    <row r="420" spans="2:2" ht="12" customHeight="1">
      <c r="B420" s="524"/>
    </row>
    <row r="421" spans="2:2" ht="12" customHeight="1">
      <c r="B421" s="524"/>
    </row>
    <row r="422" spans="2:2" ht="12" customHeight="1">
      <c r="B422" s="524"/>
    </row>
    <row r="423" spans="2:2" ht="12" customHeight="1">
      <c r="B423" s="524"/>
    </row>
    <row r="424" spans="2:2" ht="12" customHeight="1">
      <c r="B424" s="524"/>
    </row>
    <row r="425" spans="2:2" ht="12" customHeight="1">
      <c r="B425" s="524"/>
    </row>
    <row r="426" spans="2:2" ht="12" customHeight="1">
      <c r="B426" s="524"/>
    </row>
    <row r="427" spans="2:2" ht="12" customHeight="1">
      <c r="B427" s="524"/>
    </row>
    <row r="428" spans="2:2" ht="12" customHeight="1">
      <c r="B428" s="524"/>
    </row>
    <row r="429" spans="2:2" ht="12" customHeight="1">
      <c r="B429" s="524"/>
    </row>
    <row r="430" spans="2:2" ht="12" customHeight="1">
      <c r="B430" s="524"/>
    </row>
    <row r="431" spans="2:2" ht="12" customHeight="1">
      <c r="B431" s="524"/>
    </row>
    <row r="432" spans="2:2" ht="12" customHeight="1">
      <c r="B432" s="524"/>
    </row>
    <row r="433" spans="2:2" ht="12" customHeight="1">
      <c r="B433" s="524"/>
    </row>
    <row r="434" spans="2:2" ht="12" customHeight="1">
      <c r="B434" s="524"/>
    </row>
    <row r="435" spans="2:2" ht="12" customHeight="1">
      <c r="B435" s="524"/>
    </row>
    <row r="436" spans="2:2" ht="12" customHeight="1">
      <c r="B436" s="524"/>
    </row>
    <row r="437" spans="2:2" ht="12" customHeight="1">
      <c r="B437" s="524"/>
    </row>
    <row r="438" spans="2:2" ht="12" customHeight="1">
      <c r="B438" s="524"/>
    </row>
    <row r="439" spans="2:2" ht="12" customHeight="1">
      <c r="B439" s="524"/>
    </row>
    <row r="440" spans="2:2" ht="12" customHeight="1">
      <c r="B440" s="524"/>
    </row>
    <row r="441" spans="2:2" ht="12" customHeight="1">
      <c r="B441" s="524"/>
    </row>
    <row r="442" spans="2:2" ht="12" customHeight="1">
      <c r="B442" s="524"/>
    </row>
    <row r="443" spans="2:2" ht="12" customHeight="1">
      <c r="B443" s="524"/>
    </row>
    <row r="444" spans="2:2" ht="12" customHeight="1">
      <c r="B444" s="524"/>
    </row>
    <row r="445" spans="2:2" ht="12" customHeight="1">
      <c r="B445" s="524"/>
    </row>
    <row r="446" spans="2:2" ht="12" customHeight="1">
      <c r="B446" s="524"/>
    </row>
    <row r="447" spans="2:2" ht="12" customHeight="1">
      <c r="B447" s="524"/>
    </row>
    <row r="448" spans="2:2" ht="12" customHeight="1">
      <c r="B448" s="524"/>
    </row>
    <row r="449" spans="2:2" ht="12" customHeight="1">
      <c r="B449" s="524"/>
    </row>
    <row r="450" spans="2:2" ht="12" customHeight="1">
      <c r="B450" s="524"/>
    </row>
    <row r="451" spans="2:2" ht="12" customHeight="1">
      <c r="B451" s="524"/>
    </row>
    <row r="452" spans="2:2" ht="12" customHeight="1">
      <c r="B452" s="524"/>
    </row>
    <row r="453" spans="2:2" ht="12" customHeight="1">
      <c r="B453" s="524"/>
    </row>
    <row r="454" spans="2:2" ht="12" customHeight="1">
      <c r="B454" s="524"/>
    </row>
    <row r="455" spans="2:2" ht="12" customHeight="1">
      <c r="B455" s="524"/>
    </row>
    <row r="456" spans="2:2" ht="12" customHeight="1">
      <c r="B456" s="524"/>
    </row>
    <row r="457" spans="2:2" ht="12" customHeight="1">
      <c r="B457" s="524"/>
    </row>
    <row r="458" spans="2:2" ht="12" customHeight="1">
      <c r="B458" s="524"/>
    </row>
    <row r="459" spans="2:2" ht="12" customHeight="1">
      <c r="B459" s="524"/>
    </row>
    <row r="460" spans="2:2" ht="12" customHeight="1">
      <c r="B460" s="524"/>
    </row>
    <row r="461" spans="2:2" ht="12" customHeight="1">
      <c r="B461" s="524"/>
    </row>
    <row r="462" spans="2:2" ht="12" customHeight="1">
      <c r="B462" s="524"/>
    </row>
    <row r="463" spans="2:2" ht="12" customHeight="1">
      <c r="B463" s="524"/>
    </row>
    <row r="464" spans="2:2" ht="12" customHeight="1">
      <c r="B464" s="524"/>
    </row>
    <row r="465" spans="2:2" ht="12" customHeight="1">
      <c r="B465" s="524"/>
    </row>
    <row r="466" spans="2:2" ht="12" customHeight="1">
      <c r="B466" s="524"/>
    </row>
    <row r="467" spans="2:2" ht="12" customHeight="1">
      <c r="B467" s="524"/>
    </row>
    <row r="468" spans="2:2" ht="12" customHeight="1">
      <c r="B468" s="524"/>
    </row>
    <row r="469" spans="2:2" ht="12" customHeight="1">
      <c r="B469" s="524"/>
    </row>
    <row r="470" spans="2:2" ht="12" customHeight="1">
      <c r="B470" s="524"/>
    </row>
    <row r="471" spans="2:2" ht="12" customHeight="1">
      <c r="B471" s="524"/>
    </row>
    <row r="472" spans="2:2" ht="12" customHeight="1">
      <c r="B472" s="524"/>
    </row>
    <row r="473" spans="2:2" ht="12" customHeight="1">
      <c r="B473" s="524"/>
    </row>
    <row r="474" spans="2:2" ht="12" customHeight="1">
      <c r="B474" s="524"/>
    </row>
    <row r="475" spans="2:2" ht="12" customHeight="1">
      <c r="B475" s="524"/>
    </row>
    <row r="476" spans="2:2" ht="12" customHeight="1">
      <c r="B476" s="524"/>
    </row>
    <row r="477" spans="2:2" ht="12" customHeight="1">
      <c r="B477" s="524"/>
    </row>
    <row r="478" spans="2:2" ht="12" customHeight="1">
      <c r="B478" s="524"/>
    </row>
    <row r="479" spans="2:2" ht="12" customHeight="1">
      <c r="B479" s="524"/>
    </row>
    <row r="480" spans="2:2" ht="12" customHeight="1">
      <c r="B480" s="524"/>
    </row>
    <row r="481" spans="2:2" ht="12" customHeight="1">
      <c r="B481" s="524"/>
    </row>
    <row r="482" spans="2:2" ht="12" customHeight="1">
      <c r="B482" s="524"/>
    </row>
    <row r="483" spans="2:2" ht="12" customHeight="1">
      <c r="B483" s="524"/>
    </row>
    <row r="484" spans="2:2" ht="12" customHeight="1">
      <c r="B484" s="524"/>
    </row>
    <row r="485" spans="2:2" ht="12" customHeight="1">
      <c r="B485" s="524"/>
    </row>
    <row r="486" spans="2:2" ht="12" customHeight="1">
      <c r="B486" s="524"/>
    </row>
    <row r="487" spans="2:2" ht="12" customHeight="1">
      <c r="B487" s="524"/>
    </row>
    <row r="488" spans="2:2" ht="12" customHeight="1">
      <c r="B488" s="524"/>
    </row>
    <row r="489" spans="2:2" ht="12" customHeight="1">
      <c r="B489" s="524"/>
    </row>
    <row r="490" spans="2:2" ht="12" customHeight="1">
      <c r="B490" s="524"/>
    </row>
    <row r="491" spans="2:2" ht="12" customHeight="1">
      <c r="B491" s="524"/>
    </row>
    <row r="492" spans="2:2" ht="12" customHeight="1">
      <c r="B492" s="524"/>
    </row>
    <row r="493" spans="2:2" ht="12" customHeight="1">
      <c r="B493" s="524"/>
    </row>
    <row r="494" spans="2:2" ht="12" customHeight="1">
      <c r="B494" s="524"/>
    </row>
    <row r="495" spans="2:2" ht="12" customHeight="1">
      <c r="B495" s="524"/>
    </row>
    <row r="496" spans="2:2" ht="12" customHeight="1">
      <c r="B496" s="524"/>
    </row>
    <row r="497" spans="2:2" ht="12" customHeight="1">
      <c r="B497" s="524"/>
    </row>
    <row r="498" spans="2:2" ht="12" customHeight="1">
      <c r="B498" s="524"/>
    </row>
    <row r="499" spans="2:2" ht="12" customHeight="1">
      <c r="B499" s="524"/>
    </row>
    <row r="500" spans="2:2" ht="12" customHeight="1">
      <c r="B500" s="524"/>
    </row>
    <row r="501" spans="2:2" ht="12" customHeight="1">
      <c r="B501" s="524"/>
    </row>
    <row r="502" spans="2:2" ht="12" customHeight="1">
      <c r="B502" s="524"/>
    </row>
    <row r="503" spans="2:2" ht="12" customHeight="1">
      <c r="B503" s="524"/>
    </row>
    <row r="504" spans="2:2" ht="12" customHeight="1">
      <c r="B504" s="524"/>
    </row>
    <row r="505" spans="2:2" ht="12" customHeight="1">
      <c r="B505" s="524"/>
    </row>
    <row r="506" spans="2:2" ht="12" customHeight="1">
      <c r="B506" s="524"/>
    </row>
    <row r="507" spans="2:2" ht="12" customHeight="1">
      <c r="B507" s="524"/>
    </row>
    <row r="508" spans="2:2" ht="12" customHeight="1">
      <c r="B508" s="524"/>
    </row>
    <row r="509" spans="2:2" ht="12" customHeight="1">
      <c r="B509" s="524"/>
    </row>
    <row r="510" spans="2:2" ht="12" customHeight="1">
      <c r="B510" s="524"/>
    </row>
    <row r="511" spans="2:2" ht="12" customHeight="1">
      <c r="B511" s="524"/>
    </row>
    <row r="512" spans="2:2" ht="12" customHeight="1">
      <c r="B512" s="524"/>
    </row>
    <row r="513" spans="2:2" ht="12" customHeight="1">
      <c r="B513" s="524"/>
    </row>
    <row r="514" spans="2:2" ht="12" customHeight="1">
      <c r="B514" s="524"/>
    </row>
    <row r="515" spans="2:2" ht="12" customHeight="1">
      <c r="B515" s="524"/>
    </row>
    <row r="516" spans="2:2" ht="12" customHeight="1">
      <c r="B516" s="524"/>
    </row>
    <row r="517" spans="2:2" ht="12" customHeight="1">
      <c r="B517" s="524"/>
    </row>
    <row r="518" spans="2:2" ht="12" customHeight="1">
      <c r="B518" s="524"/>
    </row>
    <row r="519" spans="2:2" ht="12" customHeight="1">
      <c r="B519" s="524"/>
    </row>
    <row r="520" spans="2:2" ht="12" customHeight="1">
      <c r="B520" s="524"/>
    </row>
    <row r="521" spans="2:2" ht="12" customHeight="1">
      <c r="B521" s="524"/>
    </row>
    <row r="522" spans="2:2" ht="12" customHeight="1">
      <c r="B522" s="524"/>
    </row>
    <row r="523" spans="2:2" ht="12" customHeight="1">
      <c r="B523" s="524"/>
    </row>
    <row r="524" spans="2:2" ht="12" customHeight="1">
      <c r="B524" s="524"/>
    </row>
    <row r="525" spans="2:2" ht="12" customHeight="1">
      <c r="B525" s="524"/>
    </row>
    <row r="526" spans="2:2" ht="12" customHeight="1">
      <c r="B526" s="524"/>
    </row>
    <row r="527" spans="2:2" ht="12" customHeight="1">
      <c r="B527" s="524"/>
    </row>
    <row r="528" spans="2:2" ht="12" customHeight="1">
      <c r="B528" s="524"/>
    </row>
    <row r="529" spans="2:2" ht="12" customHeight="1">
      <c r="B529" s="524"/>
    </row>
    <row r="530" spans="2:2" ht="12" customHeight="1">
      <c r="B530" s="524"/>
    </row>
    <row r="531" spans="2:2" ht="12" customHeight="1">
      <c r="B531" s="524"/>
    </row>
    <row r="532" spans="2:2" ht="12" customHeight="1">
      <c r="B532" s="524"/>
    </row>
    <row r="533" spans="2:2" ht="12" customHeight="1">
      <c r="B533" s="524"/>
    </row>
    <row r="534" spans="2:2" ht="12" customHeight="1">
      <c r="B534" s="524"/>
    </row>
    <row r="535" spans="2:2" ht="12" customHeight="1">
      <c r="B535" s="524"/>
    </row>
    <row r="536" spans="2:2" ht="12" customHeight="1">
      <c r="B536" s="524"/>
    </row>
    <row r="537" spans="2:2" ht="12" customHeight="1">
      <c r="B537" s="524"/>
    </row>
    <row r="538" spans="2:2" ht="12" customHeight="1">
      <c r="B538" s="524"/>
    </row>
    <row r="539" spans="2:2" ht="12" customHeight="1">
      <c r="B539" s="524"/>
    </row>
    <row r="540" spans="2:2" ht="12" customHeight="1">
      <c r="B540" s="524"/>
    </row>
    <row r="541" spans="2:2" ht="12" customHeight="1">
      <c r="B541" s="524"/>
    </row>
    <row r="542" spans="2:2" ht="12" customHeight="1">
      <c r="B542" s="524"/>
    </row>
    <row r="543" spans="2:2" ht="12" customHeight="1">
      <c r="B543" s="524"/>
    </row>
    <row r="544" spans="2:2" ht="12" customHeight="1">
      <c r="B544" s="524"/>
    </row>
    <row r="545" spans="2:2" ht="12" customHeight="1">
      <c r="B545" s="524"/>
    </row>
    <row r="546" spans="2:2" ht="12" customHeight="1">
      <c r="B546" s="524"/>
    </row>
    <row r="547" spans="2:2" ht="12" customHeight="1">
      <c r="B547" s="524"/>
    </row>
    <row r="548" spans="2:2" ht="12" customHeight="1">
      <c r="B548" s="524"/>
    </row>
    <row r="549" spans="2:2" ht="12" customHeight="1">
      <c r="B549" s="524"/>
    </row>
    <row r="550" spans="2:2" ht="12" customHeight="1">
      <c r="B550" s="524"/>
    </row>
    <row r="551" spans="2:2" ht="12" customHeight="1">
      <c r="B551" s="524"/>
    </row>
    <row r="552" spans="2:2" ht="12" customHeight="1">
      <c r="B552" s="524"/>
    </row>
    <row r="553" spans="2:2" ht="12" customHeight="1">
      <c r="B553" s="524"/>
    </row>
    <row r="554" spans="2:2" ht="12" customHeight="1">
      <c r="B554" s="524"/>
    </row>
    <row r="555" spans="2:2" ht="12" customHeight="1">
      <c r="B555" s="524"/>
    </row>
    <row r="556" spans="2:2" ht="12" customHeight="1">
      <c r="B556" s="524"/>
    </row>
    <row r="557" spans="2:2" ht="12" customHeight="1">
      <c r="B557" s="524"/>
    </row>
    <row r="558" spans="2:2" ht="12" customHeight="1">
      <c r="B558" s="524"/>
    </row>
    <row r="559" spans="2:2" ht="12" customHeight="1">
      <c r="B559" s="524"/>
    </row>
    <row r="560" spans="2:2" ht="12" customHeight="1">
      <c r="B560" s="524"/>
    </row>
    <row r="561" spans="2:2" ht="12" customHeight="1">
      <c r="B561" s="524"/>
    </row>
    <row r="562" spans="2:2" ht="12" customHeight="1">
      <c r="B562" s="524"/>
    </row>
    <row r="563" spans="2:2" ht="12" customHeight="1">
      <c r="B563" s="524"/>
    </row>
    <row r="564" spans="2:2" ht="12" customHeight="1">
      <c r="B564" s="524"/>
    </row>
    <row r="565" spans="2:2" ht="12" customHeight="1">
      <c r="B565" s="524"/>
    </row>
    <row r="566" spans="2:2" ht="12" customHeight="1">
      <c r="B566" s="524"/>
    </row>
    <row r="567" spans="2:2" ht="12" customHeight="1">
      <c r="B567" s="524"/>
    </row>
    <row r="568" spans="2:2" ht="12" customHeight="1">
      <c r="B568" s="524"/>
    </row>
    <row r="569" spans="2:2" ht="12" customHeight="1">
      <c r="B569" s="524"/>
    </row>
    <row r="570" spans="2:2" ht="12" customHeight="1">
      <c r="B570" s="524"/>
    </row>
    <row r="571" spans="2:2" ht="12" customHeight="1">
      <c r="B571" s="524"/>
    </row>
    <row r="572" spans="2:2" ht="12" customHeight="1">
      <c r="B572" s="524"/>
    </row>
    <row r="573" spans="2:2" ht="12" customHeight="1">
      <c r="B573" s="524"/>
    </row>
    <row r="574" spans="2:2" ht="12" customHeight="1">
      <c r="B574" s="524"/>
    </row>
    <row r="575" spans="2:2" ht="12" customHeight="1">
      <c r="B575" s="524"/>
    </row>
    <row r="576" spans="2:2" ht="12" customHeight="1">
      <c r="B576" s="524"/>
    </row>
    <row r="577" spans="2:2" ht="12" customHeight="1">
      <c r="B577" s="524"/>
    </row>
    <row r="578" spans="2:2" ht="12" customHeight="1">
      <c r="B578" s="524"/>
    </row>
    <row r="579" spans="2:2" ht="12" customHeight="1">
      <c r="B579" s="524"/>
    </row>
    <row r="580" spans="2:2" ht="12" customHeight="1">
      <c r="B580" s="524"/>
    </row>
    <row r="581" spans="2:2" ht="12" customHeight="1">
      <c r="B581" s="524"/>
    </row>
    <row r="582" spans="2:2" ht="12" customHeight="1">
      <c r="B582" s="524"/>
    </row>
    <row r="583" spans="2:2" ht="12" customHeight="1">
      <c r="B583" s="524"/>
    </row>
    <row r="584" spans="2:2" ht="12" customHeight="1">
      <c r="B584" s="524"/>
    </row>
    <row r="585" spans="2:2" ht="12" customHeight="1">
      <c r="B585" s="524"/>
    </row>
    <row r="586" spans="2:2" ht="12" customHeight="1">
      <c r="B586" s="524"/>
    </row>
    <row r="587" spans="2:2" ht="12" customHeight="1">
      <c r="B587" s="524"/>
    </row>
    <row r="588" spans="2:2" ht="12" customHeight="1">
      <c r="B588" s="524"/>
    </row>
    <row r="589" spans="2:2" ht="12" customHeight="1">
      <c r="B589" s="524"/>
    </row>
    <row r="590" spans="2:2" ht="12" customHeight="1">
      <c r="B590" s="524"/>
    </row>
    <row r="591" spans="2:2" ht="12" customHeight="1">
      <c r="B591" s="524"/>
    </row>
    <row r="592" spans="2:2" ht="12" customHeight="1">
      <c r="B592" s="524"/>
    </row>
    <row r="593" spans="2:2" ht="12" customHeight="1">
      <c r="B593" s="524"/>
    </row>
    <row r="594" spans="2:2" ht="12" customHeight="1">
      <c r="B594" s="524"/>
    </row>
    <row r="595" spans="2:2" ht="12" customHeight="1">
      <c r="B595" s="524"/>
    </row>
    <row r="596" spans="2:2" ht="12" customHeight="1">
      <c r="B596" s="524"/>
    </row>
    <row r="597" spans="2:2" ht="12" customHeight="1">
      <c r="B597" s="524"/>
    </row>
    <row r="598" spans="2:2" ht="12" customHeight="1">
      <c r="B598" s="524"/>
    </row>
    <row r="599" spans="2:2" ht="12" customHeight="1">
      <c r="B599" s="524"/>
    </row>
    <row r="600" spans="2:2" ht="12" customHeight="1">
      <c r="B600" s="524"/>
    </row>
    <row r="601" spans="2:2" ht="12" customHeight="1">
      <c r="B601" s="524"/>
    </row>
    <row r="602" spans="2:2" ht="12" customHeight="1">
      <c r="B602" s="524"/>
    </row>
    <row r="603" spans="2:2" ht="12" customHeight="1">
      <c r="B603" s="524"/>
    </row>
    <row r="604" spans="2:2" ht="12" customHeight="1">
      <c r="B604" s="524"/>
    </row>
    <row r="605" spans="2:2" ht="12" customHeight="1">
      <c r="B605" s="524"/>
    </row>
    <row r="606" spans="2:2" ht="12" customHeight="1">
      <c r="B606" s="524"/>
    </row>
    <row r="607" spans="2:2" ht="12" customHeight="1">
      <c r="B607" s="524"/>
    </row>
    <row r="608" spans="2:2" ht="12" customHeight="1">
      <c r="B608" s="524"/>
    </row>
    <row r="609" spans="2:2" ht="12" customHeight="1">
      <c r="B609" s="524"/>
    </row>
    <row r="610" spans="2:2" ht="12" customHeight="1">
      <c r="B610" s="524"/>
    </row>
    <row r="611" spans="2:2" ht="12" customHeight="1">
      <c r="B611" s="524"/>
    </row>
    <row r="612" spans="2:2" ht="12" customHeight="1">
      <c r="B612" s="524"/>
    </row>
    <row r="613" spans="2:2" ht="12" customHeight="1">
      <c r="B613" s="524"/>
    </row>
    <row r="614" spans="2:2" ht="12" customHeight="1">
      <c r="B614" s="524"/>
    </row>
    <row r="615" spans="2:2" ht="12" customHeight="1">
      <c r="B615" s="524"/>
    </row>
    <row r="616" spans="2:2" ht="12" customHeight="1">
      <c r="B616" s="524"/>
    </row>
    <row r="617" spans="2:2" ht="12" customHeight="1">
      <c r="B617" s="524"/>
    </row>
    <row r="618" spans="2:2" ht="12" customHeight="1">
      <c r="B618" s="524"/>
    </row>
    <row r="619" spans="2:2" ht="12" customHeight="1">
      <c r="B619" s="524"/>
    </row>
    <row r="620" spans="2:2" ht="12" customHeight="1">
      <c r="B620" s="524"/>
    </row>
    <row r="621" spans="2:2" ht="12" customHeight="1">
      <c r="B621" s="524"/>
    </row>
    <row r="622" spans="2:2" ht="12" customHeight="1">
      <c r="B622" s="524"/>
    </row>
    <row r="623" spans="2:2" ht="12" customHeight="1">
      <c r="B623" s="524"/>
    </row>
    <row r="624" spans="2:2" ht="12" customHeight="1">
      <c r="B624" s="524"/>
    </row>
    <row r="625" spans="2:2" ht="12" customHeight="1">
      <c r="B625" s="524"/>
    </row>
    <row r="626" spans="2:2" ht="12" customHeight="1">
      <c r="B626" s="524"/>
    </row>
    <row r="627" spans="2:2" ht="12" customHeight="1">
      <c r="B627" s="524"/>
    </row>
    <row r="628" spans="2:2" ht="12" customHeight="1">
      <c r="B628" s="524"/>
    </row>
    <row r="629" spans="2:2" ht="12" customHeight="1">
      <c r="B629" s="524"/>
    </row>
    <row r="630" spans="2:2" ht="12" customHeight="1">
      <c r="B630" s="524"/>
    </row>
    <row r="631" spans="2:2" ht="12" customHeight="1">
      <c r="B631" s="524"/>
    </row>
    <row r="632" spans="2:2" ht="12" customHeight="1">
      <c r="B632" s="524"/>
    </row>
    <row r="633" spans="2:2" ht="12" customHeight="1">
      <c r="B633" s="524"/>
    </row>
    <row r="634" spans="2:2" ht="12" customHeight="1">
      <c r="B634" s="524"/>
    </row>
    <row r="635" spans="2:2" ht="12" customHeight="1">
      <c r="B635" s="524"/>
    </row>
    <row r="636" spans="2:2" ht="12" customHeight="1">
      <c r="B636" s="524"/>
    </row>
    <row r="637" spans="2:2" ht="12" customHeight="1">
      <c r="B637" s="524"/>
    </row>
    <row r="638" spans="2:2" ht="12" customHeight="1">
      <c r="B638" s="524"/>
    </row>
    <row r="639" spans="2:2" ht="12" customHeight="1">
      <c r="B639" s="524"/>
    </row>
    <row r="640" spans="2:2" ht="12" customHeight="1">
      <c r="B640" s="524"/>
    </row>
    <row r="641" spans="2:2" ht="12" customHeight="1">
      <c r="B641" s="524"/>
    </row>
    <row r="642" spans="2:2" ht="12" customHeight="1">
      <c r="B642" s="524"/>
    </row>
    <row r="643" spans="2:2" ht="12" customHeight="1">
      <c r="B643" s="524"/>
    </row>
    <row r="644" spans="2:2" ht="12" customHeight="1">
      <c r="B644" s="524"/>
    </row>
    <row r="645" spans="2:2" ht="12" customHeight="1">
      <c r="B645" s="524"/>
    </row>
    <row r="646" spans="2:2" ht="12" customHeight="1">
      <c r="B646" s="524"/>
    </row>
    <row r="647" spans="2:2" ht="12" customHeight="1">
      <c r="B647" s="524"/>
    </row>
    <row r="648" spans="2:2" ht="12" customHeight="1">
      <c r="B648" s="524"/>
    </row>
    <row r="649" spans="2:2" ht="12" customHeight="1">
      <c r="B649" s="524"/>
    </row>
    <row r="650" spans="2:2" ht="12" customHeight="1">
      <c r="B650" s="524"/>
    </row>
    <row r="651" spans="2:2" ht="12" customHeight="1">
      <c r="B651" s="524"/>
    </row>
    <row r="652" spans="2:2" ht="12" customHeight="1">
      <c r="B652" s="524"/>
    </row>
    <row r="653" spans="2:2" ht="12" customHeight="1">
      <c r="B653" s="524"/>
    </row>
    <row r="654" spans="2:2" ht="12" customHeight="1">
      <c r="B654" s="524"/>
    </row>
    <row r="655" spans="2:2" ht="12" customHeight="1">
      <c r="B655" s="524"/>
    </row>
    <row r="656" spans="2:2" ht="12" customHeight="1">
      <c r="B656" s="524"/>
    </row>
    <row r="657" spans="2:2" ht="12" customHeight="1">
      <c r="B657" s="524"/>
    </row>
    <row r="658" spans="2:2" ht="12" customHeight="1">
      <c r="B658" s="524"/>
    </row>
    <row r="659" spans="2:2" ht="12" customHeight="1">
      <c r="B659" s="524"/>
    </row>
    <row r="660" spans="2:2" ht="12" customHeight="1">
      <c r="B660" s="524"/>
    </row>
    <row r="661" spans="2:2" ht="12" customHeight="1">
      <c r="B661" s="524"/>
    </row>
    <row r="662" spans="2:2" ht="12" customHeight="1">
      <c r="B662" s="524"/>
    </row>
    <row r="663" spans="2:2" ht="12" customHeight="1">
      <c r="B663" s="524"/>
    </row>
    <row r="664" spans="2:2" ht="12" customHeight="1">
      <c r="B664" s="524"/>
    </row>
    <row r="665" spans="2:2" ht="12" customHeight="1">
      <c r="B665" s="524"/>
    </row>
    <row r="666" spans="2:2" ht="12" customHeight="1">
      <c r="B666" s="524"/>
    </row>
    <row r="667" spans="2:2" ht="12" customHeight="1">
      <c r="B667" s="524"/>
    </row>
    <row r="668" spans="2:2" ht="12" customHeight="1">
      <c r="B668" s="524"/>
    </row>
    <row r="669" spans="2:2" ht="12" customHeight="1">
      <c r="B669" s="524"/>
    </row>
    <row r="670" spans="2:2" ht="12" customHeight="1">
      <c r="B670" s="524"/>
    </row>
    <row r="671" spans="2:2" ht="12" customHeight="1">
      <c r="B671" s="524"/>
    </row>
    <row r="672" spans="2:2" ht="12" customHeight="1">
      <c r="B672" s="524"/>
    </row>
    <row r="673" spans="2:2" ht="12" customHeight="1">
      <c r="B673" s="524"/>
    </row>
    <row r="674" spans="2:2" ht="12" customHeight="1">
      <c r="B674" s="524"/>
    </row>
    <row r="675" spans="2:2" ht="12" customHeight="1">
      <c r="B675" s="524"/>
    </row>
    <row r="676" spans="2:2" ht="12" customHeight="1">
      <c r="B676" s="524"/>
    </row>
    <row r="677" spans="2:2" ht="12" customHeight="1">
      <c r="B677" s="524"/>
    </row>
    <row r="678" spans="2:2" ht="12" customHeight="1">
      <c r="B678" s="524"/>
    </row>
    <row r="679" spans="2:2" ht="12" customHeight="1">
      <c r="B679" s="524"/>
    </row>
    <row r="680" spans="2:2" ht="12" customHeight="1">
      <c r="B680" s="524"/>
    </row>
    <row r="681" spans="2:2" ht="12" customHeight="1">
      <c r="B681" s="524"/>
    </row>
    <row r="682" spans="2:2" ht="12" customHeight="1">
      <c r="B682" s="524"/>
    </row>
    <row r="683" spans="2:2" ht="12" customHeight="1">
      <c r="B683" s="524"/>
    </row>
    <row r="684" spans="2:2" ht="12" customHeight="1">
      <c r="B684" s="524"/>
    </row>
    <row r="685" spans="2:2" ht="12" customHeight="1">
      <c r="B685" s="524"/>
    </row>
    <row r="686" spans="2:2" ht="12" customHeight="1">
      <c r="B686" s="524"/>
    </row>
    <row r="687" spans="2:2" ht="12" customHeight="1">
      <c r="B687" s="524"/>
    </row>
    <row r="688" spans="2:2" ht="12" customHeight="1">
      <c r="B688" s="524"/>
    </row>
    <row r="689" spans="2:2" ht="12" customHeight="1">
      <c r="B689" s="524"/>
    </row>
    <row r="690" spans="2:2" ht="12" customHeight="1">
      <c r="B690" s="524"/>
    </row>
    <row r="691" spans="2:2" ht="12" customHeight="1">
      <c r="B691" s="524"/>
    </row>
    <row r="692" spans="2:2" ht="12" customHeight="1">
      <c r="B692" s="524"/>
    </row>
    <row r="693" spans="2:2" ht="12" customHeight="1">
      <c r="B693" s="524"/>
    </row>
    <row r="694" spans="2:2" ht="12" customHeight="1">
      <c r="B694" s="524"/>
    </row>
    <row r="695" spans="2:2" ht="12" customHeight="1">
      <c r="B695" s="524"/>
    </row>
    <row r="696" spans="2:2" ht="12" customHeight="1">
      <c r="B696" s="524"/>
    </row>
    <row r="697" spans="2:2" ht="12" customHeight="1">
      <c r="B697" s="524"/>
    </row>
    <row r="698" spans="2:2" ht="12" customHeight="1">
      <c r="B698" s="524"/>
    </row>
    <row r="699" spans="2:2" ht="12" customHeight="1">
      <c r="B699" s="524"/>
    </row>
    <row r="700" spans="2:2" ht="12" customHeight="1">
      <c r="B700" s="524"/>
    </row>
    <row r="701" spans="2:2" ht="12" customHeight="1">
      <c r="B701" s="524"/>
    </row>
    <row r="702" spans="2:2" ht="12" customHeight="1">
      <c r="B702" s="524"/>
    </row>
    <row r="703" spans="2:2" ht="12" customHeight="1">
      <c r="B703" s="524"/>
    </row>
    <row r="704" spans="2:2" ht="12" customHeight="1">
      <c r="B704" s="524"/>
    </row>
    <row r="705" spans="2:2" ht="12" customHeight="1">
      <c r="B705" s="524"/>
    </row>
    <row r="706" spans="2:2" ht="12" customHeight="1">
      <c r="B706" s="524"/>
    </row>
    <row r="707" spans="2:2" ht="12" customHeight="1">
      <c r="B707" s="524"/>
    </row>
    <row r="708" spans="2:2" ht="12" customHeight="1">
      <c r="B708" s="524"/>
    </row>
    <row r="709" spans="2:2" ht="12" customHeight="1">
      <c r="B709" s="524"/>
    </row>
    <row r="710" spans="2:2" ht="12" customHeight="1">
      <c r="B710" s="524"/>
    </row>
    <row r="711" spans="2:2" ht="12" customHeight="1">
      <c r="B711" s="524"/>
    </row>
    <row r="712" spans="2:2" ht="12" customHeight="1">
      <c r="B712" s="524"/>
    </row>
    <row r="713" spans="2:2" ht="12" customHeight="1">
      <c r="B713" s="524"/>
    </row>
    <row r="714" spans="2:2" ht="12" customHeight="1">
      <c r="B714" s="524"/>
    </row>
    <row r="715" spans="2:2" ht="12" customHeight="1">
      <c r="B715" s="524"/>
    </row>
    <row r="716" spans="2:2" ht="12" customHeight="1">
      <c r="B716" s="524"/>
    </row>
    <row r="717" spans="2:2" ht="12" customHeight="1">
      <c r="B717" s="524"/>
    </row>
    <row r="718" spans="2:2" ht="12" customHeight="1">
      <c r="B718" s="524"/>
    </row>
    <row r="719" spans="2:2" ht="12" customHeight="1">
      <c r="B719" s="524"/>
    </row>
    <row r="720" spans="2:2" ht="12" customHeight="1">
      <c r="B720" s="524"/>
    </row>
    <row r="721" spans="2:2" ht="12" customHeight="1">
      <c r="B721" s="524"/>
    </row>
    <row r="722" spans="2:2" ht="12" customHeight="1">
      <c r="B722" s="524"/>
    </row>
    <row r="723" spans="2:2" ht="12" customHeight="1">
      <c r="B723" s="524"/>
    </row>
    <row r="724" spans="2:2" ht="12" customHeight="1">
      <c r="B724" s="524"/>
    </row>
    <row r="725" spans="2:2" ht="12" customHeight="1">
      <c r="B725" s="524"/>
    </row>
    <row r="726" spans="2:2" ht="12" customHeight="1">
      <c r="B726" s="524"/>
    </row>
    <row r="727" spans="2:2" ht="12" customHeight="1">
      <c r="B727" s="524"/>
    </row>
    <row r="728" spans="2:2" ht="12" customHeight="1">
      <c r="B728" s="524"/>
    </row>
    <row r="729" spans="2:2" ht="12" customHeight="1">
      <c r="B729" s="524"/>
    </row>
    <row r="730" spans="2:2" ht="12" customHeight="1">
      <c r="B730" s="524"/>
    </row>
    <row r="731" spans="2:2" ht="12" customHeight="1">
      <c r="B731" s="524"/>
    </row>
    <row r="732" spans="2:2" ht="12" customHeight="1">
      <c r="B732" s="524"/>
    </row>
    <row r="733" spans="2:2" ht="12" customHeight="1">
      <c r="B733" s="524"/>
    </row>
    <row r="734" spans="2:2" ht="12" customHeight="1">
      <c r="B734" s="524"/>
    </row>
    <row r="735" spans="2:2" ht="12" customHeight="1">
      <c r="B735" s="524"/>
    </row>
    <row r="736" spans="2:2" ht="12" customHeight="1">
      <c r="B736" s="524"/>
    </row>
    <row r="737" spans="2:2" ht="12" customHeight="1">
      <c r="B737" s="524"/>
    </row>
    <row r="738" spans="2:2" ht="12" customHeight="1">
      <c r="B738" s="524"/>
    </row>
    <row r="739" spans="2:2" ht="12" customHeight="1">
      <c r="B739" s="524"/>
    </row>
    <row r="740" spans="2:2" ht="12" customHeight="1">
      <c r="B740" s="524"/>
    </row>
    <row r="741" spans="2:2" ht="12" customHeight="1">
      <c r="B741" s="524"/>
    </row>
    <row r="742" spans="2:2" ht="12" customHeight="1">
      <c r="B742" s="524"/>
    </row>
    <row r="743" spans="2:2" ht="12" customHeight="1">
      <c r="B743" s="524"/>
    </row>
    <row r="744" spans="2:2" ht="12" customHeight="1">
      <c r="B744" s="524"/>
    </row>
    <row r="745" spans="2:2" ht="12" customHeight="1">
      <c r="B745" s="524"/>
    </row>
    <row r="746" spans="2:2" ht="12" customHeight="1">
      <c r="B746" s="524"/>
    </row>
    <row r="747" spans="2:2" ht="12" customHeight="1">
      <c r="B747" s="524"/>
    </row>
    <row r="748" spans="2:2" ht="12" customHeight="1">
      <c r="B748" s="524"/>
    </row>
    <row r="749" spans="2:2" ht="12" customHeight="1">
      <c r="B749" s="524"/>
    </row>
    <row r="750" spans="2:2" ht="12" customHeight="1">
      <c r="B750" s="524"/>
    </row>
    <row r="751" spans="2:2" ht="12" customHeight="1">
      <c r="B751" s="524"/>
    </row>
    <row r="752" spans="2:2" ht="12" customHeight="1">
      <c r="B752" s="524"/>
    </row>
    <row r="753" spans="2:2" ht="12" customHeight="1">
      <c r="B753" s="524"/>
    </row>
    <row r="754" spans="2:2" ht="12" customHeight="1">
      <c r="B754" s="524"/>
    </row>
    <row r="755" spans="2:2" ht="12" customHeight="1">
      <c r="B755" s="524"/>
    </row>
    <row r="756" spans="2:2" ht="12" customHeight="1">
      <c r="B756" s="524"/>
    </row>
    <row r="757" spans="2:2" ht="12" customHeight="1">
      <c r="B757" s="524"/>
    </row>
    <row r="758" spans="2:2" ht="12" customHeight="1">
      <c r="B758" s="524"/>
    </row>
    <row r="759" spans="2:2" ht="12" customHeight="1">
      <c r="B759" s="524"/>
    </row>
    <row r="760" spans="2:2" ht="12" customHeight="1">
      <c r="B760" s="524"/>
    </row>
    <row r="761" spans="2:2" ht="12" customHeight="1">
      <c r="B761" s="524"/>
    </row>
    <row r="762" spans="2:2" ht="12" customHeight="1">
      <c r="B762" s="524"/>
    </row>
    <row r="763" spans="2:2" ht="12" customHeight="1">
      <c r="B763" s="524"/>
    </row>
    <row r="764" spans="2:2" ht="12" customHeight="1">
      <c r="B764" s="524"/>
    </row>
    <row r="765" spans="2:2" ht="12" customHeight="1">
      <c r="B765" s="524"/>
    </row>
    <row r="766" spans="2:2" ht="12" customHeight="1">
      <c r="B766" s="524"/>
    </row>
    <row r="767" spans="2:2" ht="12" customHeight="1">
      <c r="B767" s="524"/>
    </row>
    <row r="768" spans="2:2" ht="12" customHeight="1">
      <c r="B768" s="524"/>
    </row>
    <row r="769" spans="2:2" ht="12" customHeight="1">
      <c r="B769" s="524"/>
    </row>
    <row r="770" spans="2:2" ht="12" customHeight="1">
      <c r="B770" s="524"/>
    </row>
    <row r="771" spans="2:2" ht="12" customHeight="1">
      <c r="B771" s="524"/>
    </row>
    <row r="772" spans="2:2" ht="12" customHeight="1">
      <c r="B772" s="524"/>
    </row>
    <row r="773" spans="2:2" ht="12" customHeight="1">
      <c r="B773" s="524"/>
    </row>
    <row r="774" spans="2:2" ht="12" customHeight="1">
      <c r="B774" s="524"/>
    </row>
    <row r="775" spans="2:2" ht="12" customHeight="1">
      <c r="B775" s="524"/>
    </row>
    <row r="776" spans="2:2" ht="12" customHeight="1">
      <c r="B776" s="524"/>
    </row>
    <row r="777" spans="2:2" ht="12" customHeight="1">
      <c r="B777" s="524"/>
    </row>
    <row r="778" spans="2:2" ht="12" customHeight="1">
      <c r="B778" s="524"/>
    </row>
    <row r="779" spans="2:2" ht="12" customHeight="1">
      <c r="B779" s="524"/>
    </row>
    <row r="780" spans="2:2" ht="12" customHeight="1">
      <c r="B780" s="524"/>
    </row>
    <row r="781" spans="2:2" ht="12" customHeight="1">
      <c r="B781" s="524"/>
    </row>
    <row r="782" spans="2:2" ht="12" customHeight="1">
      <c r="B782" s="524"/>
    </row>
    <row r="783" spans="2:2" ht="12" customHeight="1">
      <c r="B783" s="524"/>
    </row>
    <row r="784" spans="2:2" ht="12" customHeight="1">
      <c r="B784" s="524"/>
    </row>
    <row r="785" spans="2:2" ht="12" customHeight="1">
      <c r="B785" s="524"/>
    </row>
    <row r="786" spans="2:2" ht="12" customHeight="1">
      <c r="B786" s="524"/>
    </row>
    <row r="787" spans="2:2" ht="12" customHeight="1">
      <c r="B787" s="524"/>
    </row>
    <row r="788" spans="2:2" ht="12" customHeight="1">
      <c r="B788" s="524"/>
    </row>
    <row r="789" spans="2:2" ht="12" customHeight="1">
      <c r="B789" s="524"/>
    </row>
    <row r="790" spans="2:2" ht="12" customHeight="1">
      <c r="B790" s="524"/>
    </row>
    <row r="791" spans="2:2" ht="12" customHeight="1">
      <c r="B791" s="524"/>
    </row>
    <row r="792" spans="2:2" ht="12" customHeight="1">
      <c r="B792" s="524"/>
    </row>
    <row r="793" spans="2:2" ht="12" customHeight="1">
      <c r="B793" s="524"/>
    </row>
    <row r="794" spans="2:2" ht="12" customHeight="1">
      <c r="B794" s="524"/>
    </row>
    <row r="795" spans="2:2" ht="12" customHeight="1">
      <c r="B795" s="524"/>
    </row>
    <row r="796" spans="2:2" ht="12" customHeight="1">
      <c r="B796" s="524"/>
    </row>
    <row r="797" spans="2:2" ht="12" customHeight="1">
      <c r="B797" s="524"/>
    </row>
    <row r="798" spans="2:2" ht="12" customHeight="1">
      <c r="B798" s="524"/>
    </row>
    <row r="799" spans="2:2" ht="12" customHeight="1">
      <c r="B799" s="524"/>
    </row>
    <row r="800" spans="2:2" ht="12" customHeight="1">
      <c r="B800" s="524"/>
    </row>
    <row r="801" spans="2:2" ht="12" customHeight="1">
      <c r="B801" s="524"/>
    </row>
    <row r="802" spans="2:2" ht="12" customHeight="1">
      <c r="B802" s="524"/>
    </row>
    <row r="803" spans="2:2" ht="12" customHeight="1">
      <c r="B803" s="524"/>
    </row>
    <row r="804" spans="2:2" ht="12" customHeight="1">
      <c r="B804" s="524"/>
    </row>
    <row r="805" spans="2:2" ht="12" customHeight="1">
      <c r="B805" s="524"/>
    </row>
    <row r="806" spans="2:2" ht="12" customHeight="1">
      <c r="B806" s="524"/>
    </row>
    <row r="807" spans="2:2" ht="12" customHeight="1">
      <c r="B807" s="524"/>
    </row>
    <row r="808" spans="2:2" ht="12" customHeight="1">
      <c r="B808" s="524"/>
    </row>
    <row r="809" spans="2:2" ht="12" customHeight="1">
      <c r="B809" s="524"/>
    </row>
    <row r="810" spans="2:2" ht="12" customHeight="1">
      <c r="B810" s="524"/>
    </row>
    <row r="811" spans="2:2" ht="12" customHeight="1">
      <c r="B811" s="524"/>
    </row>
    <row r="812" spans="2:2" ht="12" customHeight="1">
      <c r="B812" s="524"/>
    </row>
    <row r="813" spans="2:2" ht="12" customHeight="1">
      <c r="B813" s="524"/>
    </row>
    <row r="814" spans="2:2" ht="12" customHeight="1">
      <c r="B814" s="524"/>
    </row>
    <row r="815" spans="2:2" ht="12" customHeight="1">
      <c r="B815" s="524"/>
    </row>
    <row r="816" spans="2:2" ht="12" customHeight="1">
      <c r="B816" s="524"/>
    </row>
    <row r="817" spans="2:2" ht="12" customHeight="1">
      <c r="B817" s="524"/>
    </row>
    <row r="818" spans="2:2" ht="12" customHeight="1">
      <c r="B818" s="524"/>
    </row>
    <row r="819" spans="2:2" ht="12" customHeight="1">
      <c r="B819" s="524"/>
    </row>
    <row r="820" spans="2:2" ht="12" customHeight="1">
      <c r="B820" s="524"/>
    </row>
    <row r="821" spans="2:2" ht="12" customHeight="1">
      <c r="B821" s="524"/>
    </row>
    <row r="822" spans="2:2" ht="12" customHeight="1">
      <c r="B822" s="524"/>
    </row>
    <row r="823" spans="2:2" ht="12" customHeight="1">
      <c r="B823" s="524"/>
    </row>
    <row r="824" spans="2:2" ht="12" customHeight="1">
      <c r="B824" s="524"/>
    </row>
    <row r="825" spans="2:2" ht="12" customHeight="1">
      <c r="B825" s="524"/>
    </row>
    <row r="826" spans="2:2" ht="12" customHeight="1">
      <c r="B826" s="524"/>
    </row>
    <row r="827" spans="2:2" ht="12" customHeight="1">
      <c r="B827" s="524"/>
    </row>
    <row r="828" spans="2:2" ht="12" customHeight="1">
      <c r="B828" s="524"/>
    </row>
    <row r="829" spans="2:2" ht="12" customHeight="1">
      <c r="B829" s="524"/>
    </row>
    <row r="830" spans="2:2" ht="12" customHeight="1">
      <c r="B830" s="524"/>
    </row>
    <row r="831" spans="2:2" ht="12" customHeight="1">
      <c r="B831" s="524"/>
    </row>
    <row r="832" spans="2:2" ht="12" customHeight="1">
      <c r="B832" s="524"/>
    </row>
    <row r="833" spans="2:2" ht="12" customHeight="1">
      <c r="B833" s="524"/>
    </row>
    <row r="834" spans="2:2" ht="12" customHeight="1">
      <c r="B834" s="524"/>
    </row>
    <row r="835" spans="2:2" ht="12" customHeight="1">
      <c r="B835" s="524"/>
    </row>
    <row r="836" spans="2:2" ht="12" customHeight="1">
      <c r="B836" s="524"/>
    </row>
    <row r="837" spans="2:2" ht="12" customHeight="1">
      <c r="B837" s="524"/>
    </row>
    <row r="838" spans="2:2" ht="12" customHeight="1">
      <c r="B838" s="524"/>
    </row>
    <row r="839" spans="2:2" ht="12" customHeight="1">
      <c r="B839" s="524"/>
    </row>
    <row r="840" spans="2:2" ht="12" customHeight="1">
      <c r="B840" s="524"/>
    </row>
    <row r="841" spans="2:2" ht="12" customHeight="1">
      <c r="B841" s="524"/>
    </row>
    <row r="842" spans="2:2" ht="12" customHeight="1">
      <c r="B842" s="524"/>
    </row>
    <row r="843" spans="2:2" ht="12" customHeight="1">
      <c r="B843" s="524"/>
    </row>
    <row r="844" spans="2:2" ht="12" customHeight="1">
      <c r="B844" s="524"/>
    </row>
    <row r="845" spans="2:2" ht="12" customHeight="1">
      <c r="B845" s="524"/>
    </row>
    <row r="846" spans="2:2" ht="12" customHeight="1">
      <c r="B846" s="524"/>
    </row>
    <row r="847" spans="2:2" ht="12" customHeight="1">
      <c r="B847" s="524"/>
    </row>
    <row r="848" spans="2:2" ht="12" customHeight="1">
      <c r="B848" s="524"/>
    </row>
    <row r="849" spans="2:2" ht="12" customHeight="1">
      <c r="B849" s="524"/>
    </row>
    <row r="850" spans="2:2" ht="12" customHeight="1">
      <c r="B850" s="524"/>
    </row>
    <row r="851" spans="2:2" ht="12" customHeight="1">
      <c r="B851" s="524"/>
    </row>
    <row r="852" spans="2:2" ht="12" customHeight="1">
      <c r="B852" s="524"/>
    </row>
    <row r="853" spans="2:2" ht="12" customHeight="1">
      <c r="B853" s="524"/>
    </row>
    <row r="854" spans="2:2" ht="12" customHeight="1">
      <c r="B854" s="524"/>
    </row>
    <row r="855" spans="2:2" ht="12" customHeight="1">
      <c r="B855" s="524"/>
    </row>
    <row r="856" spans="2:2" ht="12" customHeight="1">
      <c r="B856" s="524"/>
    </row>
    <row r="857" spans="2:2" ht="12" customHeight="1">
      <c r="B857" s="524"/>
    </row>
    <row r="858" spans="2:2" ht="12" customHeight="1">
      <c r="B858" s="524"/>
    </row>
    <row r="859" spans="2:2" ht="12" customHeight="1">
      <c r="B859" s="524"/>
    </row>
    <row r="860" spans="2:2" ht="12" customHeight="1">
      <c r="B860" s="524"/>
    </row>
    <row r="861" spans="2:2" ht="12" customHeight="1">
      <c r="B861" s="524"/>
    </row>
    <row r="862" spans="2:2" ht="12" customHeight="1">
      <c r="B862" s="524"/>
    </row>
    <row r="863" spans="2:2" ht="12" customHeight="1">
      <c r="B863" s="524"/>
    </row>
    <row r="864" spans="2:2" ht="12" customHeight="1">
      <c r="B864" s="524"/>
    </row>
    <row r="865" spans="2:2" ht="12" customHeight="1">
      <c r="B865" s="524"/>
    </row>
    <row r="866" spans="2:2" ht="12" customHeight="1">
      <c r="B866" s="524"/>
    </row>
    <row r="867" spans="2:2" ht="12" customHeight="1">
      <c r="B867" s="524"/>
    </row>
    <row r="868" spans="2:2" ht="12" customHeight="1">
      <c r="B868" s="524"/>
    </row>
    <row r="869" spans="2:2" ht="12" customHeight="1">
      <c r="B869" s="524"/>
    </row>
    <row r="870" spans="2:2" ht="12" customHeight="1">
      <c r="B870" s="524"/>
    </row>
    <row r="871" spans="2:2" ht="12" customHeight="1">
      <c r="B871" s="524"/>
    </row>
    <row r="872" spans="2:2" ht="12" customHeight="1">
      <c r="B872" s="524"/>
    </row>
    <row r="873" spans="2:2" ht="12" customHeight="1">
      <c r="B873" s="524"/>
    </row>
    <row r="874" spans="2:2" ht="12" customHeight="1">
      <c r="B874" s="524"/>
    </row>
    <row r="875" spans="2:2" ht="12" customHeight="1">
      <c r="B875" s="524"/>
    </row>
    <row r="876" spans="2:2" ht="12" customHeight="1">
      <c r="B876" s="524"/>
    </row>
    <row r="877" spans="2:2" ht="12" customHeight="1">
      <c r="B877" s="524"/>
    </row>
    <row r="878" spans="2:2" ht="12" customHeight="1">
      <c r="B878" s="524"/>
    </row>
    <row r="879" spans="2:2" ht="12" customHeight="1">
      <c r="B879" s="524"/>
    </row>
    <row r="880" spans="2:2" ht="12" customHeight="1">
      <c r="B880" s="524"/>
    </row>
    <row r="881" spans="2:2" ht="12" customHeight="1">
      <c r="B881" s="524"/>
    </row>
    <row r="882" spans="2:2" ht="12" customHeight="1">
      <c r="B882" s="524"/>
    </row>
    <row r="883" spans="2:2" ht="12" customHeight="1">
      <c r="B883" s="524"/>
    </row>
    <row r="884" spans="2:2" ht="12" customHeight="1">
      <c r="B884" s="524"/>
    </row>
    <row r="885" spans="2:2" ht="12" customHeight="1">
      <c r="B885" s="524"/>
    </row>
    <row r="886" spans="2:2" ht="12" customHeight="1">
      <c r="B886" s="524"/>
    </row>
    <row r="887" spans="2:2" ht="12" customHeight="1">
      <c r="B887" s="524"/>
    </row>
    <row r="888" spans="2:2" ht="12" customHeight="1">
      <c r="B888" s="524"/>
    </row>
    <row r="889" spans="2:2" ht="12" customHeight="1">
      <c r="B889" s="524"/>
    </row>
    <row r="890" spans="2:2" ht="12" customHeight="1">
      <c r="B890" s="524"/>
    </row>
    <row r="891" spans="2:2" ht="12" customHeight="1">
      <c r="B891" s="524"/>
    </row>
    <row r="892" spans="2:2" ht="12" customHeight="1">
      <c r="B892" s="524"/>
    </row>
    <row r="893" spans="2:2" ht="12" customHeight="1">
      <c r="B893" s="524"/>
    </row>
    <row r="894" spans="2:2" ht="12" customHeight="1">
      <c r="B894" s="524"/>
    </row>
    <row r="895" spans="2:2" ht="12" customHeight="1">
      <c r="B895" s="524"/>
    </row>
    <row r="896" spans="2:2" ht="12" customHeight="1">
      <c r="B896" s="524"/>
    </row>
    <row r="897" spans="2:2" ht="12" customHeight="1">
      <c r="B897" s="524"/>
    </row>
    <row r="898" spans="2:2" ht="12" customHeight="1">
      <c r="B898" s="524"/>
    </row>
    <row r="899" spans="2:2" ht="12" customHeight="1">
      <c r="B899" s="524"/>
    </row>
    <row r="900" spans="2:2" ht="12" customHeight="1">
      <c r="B900" s="524"/>
    </row>
    <row r="901" spans="2:2" ht="12" customHeight="1">
      <c r="B901" s="524"/>
    </row>
    <row r="902" spans="2:2" ht="12" customHeight="1">
      <c r="B902" s="524"/>
    </row>
    <row r="903" spans="2:2" ht="12" customHeight="1">
      <c r="B903" s="524"/>
    </row>
    <row r="904" spans="2:2" ht="12" customHeight="1">
      <c r="B904" s="524"/>
    </row>
    <row r="905" spans="2:2" ht="12" customHeight="1">
      <c r="B905" s="524"/>
    </row>
    <row r="906" spans="2:2" ht="12" customHeight="1">
      <c r="B906" s="524"/>
    </row>
    <row r="907" spans="2:2" ht="12" customHeight="1">
      <c r="B907" s="524"/>
    </row>
    <row r="908" spans="2:2" ht="12" customHeight="1">
      <c r="B908" s="524"/>
    </row>
    <row r="909" spans="2:2" ht="12" customHeight="1">
      <c r="B909" s="524"/>
    </row>
    <row r="910" spans="2:2" ht="12" customHeight="1">
      <c r="B910" s="524"/>
    </row>
    <row r="911" spans="2:2" ht="12" customHeight="1">
      <c r="B911" s="524"/>
    </row>
    <row r="912" spans="2:2" ht="12" customHeight="1">
      <c r="B912" s="524"/>
    </row>
    <row r="913" spans="2:2" ht="12" customHeight="1">
      <c r="B913" s="524"/>
    </row>
    <row r="914" spans="2:2" ht="12" customHeight="1">
      <c r="B914" s="524"/>
    </row>
    <row r="915" spans="2:2" ht="12" customHeight="1">
      <c r="B915" s="524"/>
    </row>
    <row r="916" spans="2:2" ht="12" customHeight="1">
      <c r="B916" s="524"/>
    </row>
    <row r="917" spans="2:2" ht="12" customHeight="1">
      <c r="B917" s="524"/>
    </row>
    <row r="918" spans="2:2" ht="12" customHeight="1">
      <c r="B918" s="524"/>
    </row>
    <row r="919" spans="2:2" ht="12" customHeight="1">
      <c r="B919" s="524"/>
    </row>
    <row r="920" spans="2:2" ht="12" customHeight="1">
      <c r="B920" s="524"/>
    </row>
    <row r="921" spans="2:2" ht="12" customHeight="1">
      <c r="B921" s="524"/>
    </row>
    <row r="922" spans="2:2" ht="12" customHeight="1">
      <c r="B922" s="524"/>
    </row>
    <row r="923" spans="2:2" ht="12" customHeight="1">
      <c r="B923" s="524"/>
    </row>
    <row r="924" spans="2:2" ht="12" customHeight="1">
      <c r="B924" s="524"/>
    </row>
    <row r="925" spans="2:2" ht="12" customHeight="1">
      <c r="B925" s="524"/>
    </row>
    <row r="926" spans="2:2" ht="12" customHeight="1">
      <c r="B926" s="524"/>
    </row>
    <row r="927" spans="2:2" ht="12" customHeight="1">
      <c r="B927" s="524"/>
    </row>
    <row r="928" spans="2:2" ht="12" customHeight="1">
      <c r="B928" s="524"/>
    </row>
    <row r="929" spans="2:2" ht="12" customHeight="1">
      <c r="B929" s="524"/>
    </row>
    <row r="930" spans="2:2" ht="12" customHeight="1">
      <c r="B930" s="524"/>
    </row>
    <row r="931" spans="2:2" ht="12" customHeight="1">
      <c r="B931" s="524"/>
    </row>
    <row r="932" spans="2:2" ht="12" customHeight="1">
      <c r="B932" s="524"/>
    </row>
    <row r="933" spans="2:2" ht="12" customHeight="1">
      <c r="B933" s="524"/>
    </row>
    <row r="934" spans="2:2" ht="12" customHeight="1">
      <c r="B934" s="524"/>
    </row>
    <row r="935" spans="2:2" ht="12" customHeight="1">
      <c r="B935" s="524"/>
    </row>
    <row r="936" spans="2:2" ht="12" customHeight="1">
      <c r="B936" s="524"/>
    </row>
    <row r="937" spans="2:2" ht="12" customHeight="1">
      <c r="B937" s="524"/>
    </row>
    <row r="938" spans="2:2" ht="12" customHeight="1">
      <c r="B938" s="524"/>
    </row>
    <row r="939" spans="2:2" ht="12" customHeight="1">
      <c r="B939" s="524"/>
    </row>
    <row r="940" spans="2:2" ht="12" customHeight="1">
      <c r="B940" s="524"/>
    </row>
    <row r="941" spans="2:2" ht="12" customHeight="1">
      <c r="B941" s="524"/>
    </row>
    <row r="942" spans="2:2" ht="12" customHeight="1">
      <c r="B942" s="524"/>
    </row>
    <row r="943" spans="2:2" ht="12" customHeight="1">
      <c r="B943" s="524"/>
    </row>
    <row r="944" spans="2:2" ht="12" customHeight="1">
      <c r="B944" s="524"/>
    </row>
    <row r="945" spans="2:2" ht="12" customHeight="1">
      <c r="B945" s="524"/>
    </row>
    <row r="946" spans="2:2" ht="12" customHeight="1">
      <c r="B946" s="524"/>
    </row>
    <row r="947" spans="2:2" ht="12" customHeight="1">
      <c r="B947" s="524"/>
    </row>
    <row r="948" spans="2:2" ht="12" customHeight="1">
      <c r="B948" s="524"/>
    </row>
    <row r="949" spans="2:2" ht="12" customHeight="1">
      <c r="B949" s="524"/>
    </row>
    <row r="950" spans="2:2" ht="12" customHeight="1">
      <c r="B950" s="524"/>
    </row>
    <row r="951" spans="2:2" ht="12" customHeight="1">
      <c r="B951" s="524"/>
    </row>
    <row r="952" spans="2:2" ht="12" customHeight="1">
      <c r="B952" s="524"/>
    </row>
    <row r="953" spans="2:2" ht="12" customHeight="1">
      <c r="B953" s="524"/>
    </row>
    <row r="954" spans="2:2" ht="12" customHeight="1">
      <c r="B954" s="524"/>
    </row>
    <row r="955" spans="2:2" ht="12" customHeight="1">
      <c r="B955" s="524"/>
    </row>
    <row r="956" spans="2:2" ht="12" customHeight="1">
      <c r="B956" s="524"/>
    </row>
    <row r="957" spans="2:2" ht="12" customHeight="1">
      <c r="B957" s="524"/>
    </row>
    <row r="958" spans="2:2" ht="12" customHeight="1">
      <c r="B958" s="524"/>
    </row>
    <row r="959" spans="2:2" ht="12" customHeight="1">
      <c r="B959" s="524"/>
    </row>
    <row r="960" spans="2:2" ht="12" customHeight="1">
      <c r="B960" s="524"/>
    </row>
    <row r="961" spans="2:2" ht="12" customHeight="1">
      <c r="B961" s="524"/>
    </row>
    <row r="962" spans="2:2" ht="12" customHeight="1">
      <c r="B962" s="524"/>
    </row>
    <row r="963" spans="2:2" ht="12" customHeight="1">
      <c r="B963" s="524"/>
    </row>
    <row r="964" spans="2:2" ht="12" customHeight="1">
      <c r="B964" s="524"/>
    </row>
    <row r="965" spans="2:2" ht="12" customHeight="1">
      <c r="B965" s="524"/>
    </row>
    <row r="966" spans="2:2" ht="12" customHeight="1">
      <c r="B966" s="524"/>
    </row>
    <row r="967" spans="2:2" ht="12" customHeight="1">
      <c r="B967" s="524"/>
    </row>
    <row r="968" spans="2:2" ht="12" customHeight="1">
      <c r="B968" s="524"/>
    </row>
    <row r="969" spans="2:2" ht="12" customHeight="1">
      <c r="B969" s="524"/>
    </row>
    <row r="970" spans="2:2" ht="12" customHeight="1">
      <c r="B970" s="524"/>
    </row>
    <row r="971" spans="2:2" ht="12" customHeight="1">
      <c r="B971" s="524"/>
    </row>
    <row r="972" spans="2:2" ht="12" customHeight="1">
      <c r="B972" s="524"/>
    </row>
    <row r="973" spans="2:2" ht="12" customHeight="1">
      <c r="B973" s="524"/>
    </row>
    <row r="974" spans="2:2" ht="12" customHeight="1">
      <c r="B974" s="524"/>
    </row>
    <row r="975" spans="2:2" ht="12" customHeight="1">
      <c r="B975" s="524"/>
    </row>
    <row r="976" spans="2:2" ht="12" customHeight="1">
      <c r="B976" s="524"/>
    </row>
    <row r="977" spans="2:2" ht="12" customHeight="1">
      <c r="B977" s="524"/>
    </row>
    <row r="978" spans="2:2" ht="12" customHeight="1">
      <c r="B978" s="524"/>
    </row>
    <row r="979" spans="2:2" ht="12" customHeight="1">
      <c r="B979" s="524"/>
    </row>
    <row r="980" spans="2:2" ht="12" customHeight="1">
      <c r="B980" s="524"/>
    </row>
    <row r="981" spans="2:2" ht="12" customHeight="1">
      <c r="B981" s="524"/>
    </row>
    <row r="982" spans="2:2" ht="12" customHeight="1">
      <c r="B982" s="524"/>
    </row>
    <row r="983" spans="2:2" ht="12" customHeight="1">
      <c r="B983" s="524"/>
    </row>
    <row r="984" spans="2:2" ht="12" customHeight="1">
      <c r="B984" s="524"/>
    </row>
    <row r="985" spans="2:2" ht="12" customHeight="1">
      <c r="B985" s="524"/>
    </row>
    <row r="986" spans="2:2" ht="12" customHeight="1">
      <c r="B986" s="524"/>
    </row>
    <row r="987" spans="2:2" ht="12" customHeight="1">
      <c r="B987" s="524"/>
    </row>
    <row r="988" spans="2:2" ht="12" customHeight="1">
      <c r="B988" s="524"/>
    </row>
  </sheetData>
  <sheetProtection algorithmName="SHA-512" hashValue="+OgjK4wuaVw1XZTMMLhGvJMaeE27BHGsmAO/vPvglSu4WwSSUbn80Q8DWJJafbLgvbUH9Lv6FO9pnE2xmTHtig==" saltValue="GNtbobGJr73RZrrgRnjhXA==" spinCount="100000" sheet="1" objects="1" scenarios="1"/>
  <pageMargins left="0.75" right="0.75" top="1" bottom="1" header="0" footer="0"/>
  <pageSetup scale="74"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sheetPr>
  <dimension ref="A1:AE984"/>
  <sheetViews>
    <sheetView showGridLines="0" workbookViewId="0">
      <selection activeCell="B5" sqref="B5:B10"/>
    </sheetView>
  </sheetViews>
  <sheetFormatPr defaultColWidth="17.27734375" defaultRowHeight="15" customHeight="1"/>
  <cols>
    <col min="1" max="1" width="35.5546875" style="279" customWidth="1"/>
    <col min="2" max="2" width="7.8320312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26" ht="12" customHeight="1">
      <c r="B1" s="524"/>
    </row>
    <row r="2" spans="1:26" ht="17.7">
      <c r="A2" s="817" t="s">
        <v>57</v>
      </c>
      <c r="B2" s="524"/>
    </row>
    <row r="3" spans="1:26" ht="12" customHeight="1">
      <c r="B3" s="524"/>
      <c r="G3" s="294"/>
    </row>
    <row r="4" spans="1:26" ht="12" customHeight="1">
      <c r="A4" s="818" t="s">
        <v>613</v>
      </c>
      <c r="B4" s="819" t="s">
        <v>179</v>
      </c>
      <c r="C4" s="819" t="s">
        <v>31</v>
      </c>
      <c r="D4" s="819" t="s">
        <v>21</v>
      </c>
      <c r="E4" s="819" t="s">
        <v>32</v>
      </c>
      <c r="F4" s="819" t="s">
        <v>33</v>
      </c>
      <c r="G4" s="821"/>
      <c r="H4" s="792" t="s">
        <v>905</v>
      </c>
    </row>
    <row r="5" spans="1:26" ht="12" customHeight="1">
      <c r="A5" s="639" t="str">
        <f>IF(A18="", "", A18)</f>
        <v>Printer paper and ink supplies</v>
      </c>
      <c r="B5" s="433"/>
      <c r="C5" s="337" t="str">
        <f t="shared" ref="C5:C13" si="0">IF(SUM(C18:N18)&gt;0, SUM(C18:N18), "")</f>
        <v/>
      </c>
      <c r="D5" s="337" t="str">
        <f t="shared" ref="D5:D13" si="1">IF(SUM(O18:Z18)&gt;0, SUM(O18:Z18), "")</f>
        <v/>
      </c>
      <c r="E5" s="337" t="str">
        <f t="shared" ref="E5:E13" si="2">IF(D5="", "", D5*(1+B5))</f>
        <v/>
      </c>
      <c r="F5" s="337" t="str">
        <f t="shared" ref="F5:F13" si="3">IF(E5="", "", E5*(1+B5))</f>
        <v/>
      </c>
      <c r="G5" s="823"/>
      <c r="H5" s="948" t="s">
        <v>910</v>
      </c>
    </row>
    <row r="6" spans="1:26" ht="12" customHeight="1">
      <c r="A6" s="639" t="str">
        <f t="shared" ref="A6:A13" si="4">IF(A19="", "", A19)</f>
        <v>Pens, envelopes, postage, labels, tape, paper clips</v>
      </c>
      <c r="B6" s="433"/>
      <c r="C6" s="337" t="str">
        <f t="shared" si="0"/>
        <v/>
      </c>
      <c r="D6" s="337" t="str">
        <f t="shared" si="1"/>
        <v/>
      </c>
      <c r="E6" s="337" t="str">
        <f t="shared" si="2"/>
        <v/>
      </c>
      <c r="F6" s="337" t="str">
        <f t="shared" si="3"/>
        <v/>
      </c>
      <c r="G6" s="823"/>
    </row>
    <row r="7" spans="1:26" ht="12" customHeight="1">
      <c r="A7" s="639" t="str">
        <f t="shared" si="4"/>
        <v>First Aid items</v>
      </c>
      <c r="B7" s="433"/>
      <c r="C7" s="337" t="str">
        <f t="shared" si="0"/>
        <v/>
      </c>
      <c r="D7" s="337" t="str">
        <f t="shared" si="1"/>
        <v/>
      </c>
      <c r="E7" s="337" t="str">
        <f t="shared" si="2"/>
        <v/>
      </c>
      <c r="F7" s="337" t="str">
        <f t="shared" si="3"/>
        <v/>
      </c>
      <c r="G7" s="823"/>
    </row>
    <row r="8" spans="1:26" ht="12" customHeight="1">
      <c r="A8" s="639" t="str">
        <f t="shared" si="4"/>
        <v>Notebooks</v>
      </c>
      <c r="B8" s="433"/>
      <c r="C8" s="337" t="str">
        <f t="shared" si="0"/>
        <v/>
      </c>
      <c r="D8" s="337" t="str">
        <f t="shared" si="1"/>
        <v/>
      </c>
      <c r="E8" s="337" t="str">
        <f t="shared" si="2"/>
        <v/>
      </c>
      <c r="F8" s="337" t="str">
        <f t="shared" si="3"/>
        <v/>
      </c>
      <c r="G8" s="823"/>
    </row>
    <row r="9" spans="1:26" ht="12" customHeight="1">
      <c r="A9" s="639" t="str">
        <f t="shared" si="4"/>
        <v>Batteries</v>
      </c>
      <c r="B9" s="433"/>
      <c r="C9" s="337" t="str">
        <f t="shared" si="0"/>
        <v/>
      </c>
      <c r="D9" s="337" t="str">
        <f t="shared" si="1"/>
        <v/>
      </c>
      <c r="E9" s="337" t="str">
        <f t="shared" si="2"/>
        <v/>
      </c>
      <c r="F9" s="337" t="str">
        <f t="shared" si="3"/>
        <v/>
      </c>
      <c r="G9" s="823"/>
    </row>
    <row r="10" spans="1:26" s="914" customFormat="1" ht="12" customHeight="1">
      <c r="A10" s="639" t="str">
        <f t="shared" si="4"/>
        <v/>
      </c>
      <c r="B10" s="433"/>
      <c r="C10" s="337" t="str">
        <f t="shared" si="0"/>
        <v/>
      </c>
      <c r="D10" s="337" t="str">
        <f t="shared" si="1"/>
        <v/>
      </c>
      <c r="E10" s="337" t="str">
        <f t="shared" si="2"/>
        <v/>
      </c>
      <c r="F10" s="337" t="str">
        <f t="shared" si="3"/>
        <v/>
      </c>
      <c r="G10" s="981"/>
      <c r="H10" s="913"/>
      <c r="I10" s="913"/>
      <c r="J10" s="913"/>
      <c r="K10" s="913"/>
      <c r="L10" s="913"/>
      <c r="M10" s="913"/>
      <c r="N10" s="913"/>
      <c r="O10" s="913"/>
      <c r="P10" s="913"/>
      <c r="Q10" s="913"/>
      <c r="R10" s="913"/>
      <c r="S10" s="913"/>
      <c r="T10" s="913"/>
      <c r="U10" s="913"/>
      <c r="V10" s="913"/>
      <c r="W10" s="913"/>
      <c r="X10" s="913"/>
      <c r="Y10" s="913"/>
      <c r="Z10" s="913"/>
    </row>
    <row r="11" spans="1:26" s="914" customFormat="1" ht="12" customHeight="1">
      <c r="A11" s="639" t="str">
        <f t="shared" si="4"/>
        <v/>
      </c>
      <c r="B11" s="433"/>
      <c r="C11" s="337" t="str">
        <f t="shared" si="0"/>
        <v/>
      </c>
      <c r="D11" s="337" t="str">
        <f t="shared" si="1"/>
        <v/>
      </c>
      <c r="E11" s="337" t="str">
        <f t="shared" si="2"/>
        <v/>
      </c>
      <c r="F11" s="337" t="str">
        <f t="shared" si="3"/>
        <v/>
      </c>
      <c r="G11" s="981"/>
      <c r="H11" s="913"/>
      <c r="I11" s="913"/>
      <c r="J11" s="913"/>
      <c r="K11" s="913"/>
      <c r="L11" s="913"/>
      <c r="M11" s="913"/>
      <c r="N11" s="913"/>
      <c r="O11" s="913"/>
      <c r="P11" s="913"/>
      <c r="Q11" s="913"/>
      <c r="R11" s="913"/>
      <c r="S11" s="913"/>
      <c r="T11" s="913"/>
      <c r="U11" s="913"/>
      <c r="V11" s="913"/>
      <c r="W11" s="913"/>
      <c r="X11" s="913"/>
      <c r="Y11" s="913"/>
      <c r="Z11" s="913"/>
    </row>
    <row r="12" spans="1:26" s="914" customFormat="1" ht="12" customHeight="1">
      <c r="A12" s="639" t="str">
        <f t="shared" si="4"/>
        <v/>
      </c>
      <c r="B12" s="433"/>
      <c r="C12" s="337" t="str">
        <f t="shared" si="0"/>
        <v/>
      </c>
      <c r="D12" s="337" t="str">
        <f t="shared" si="1"/>
        <v/>
      </c>
      <c r="E12" s="337" t="str">
        <f t="shared" si="2"/>
        <v/>
      </c>
      <c r="F12" s="337" t="str">
        <f t="shared" si="3"/>
        <v/>
      </c>
      <c r="G12" s="981"/>
      <c r="H12" s="913"/>
      <c r="I12" s="913"/>
      <c r="J12" s="913"/>
      <c r="K12" s="913"/>
      <c r="L12" s="913"/>
      <c r="M12" s="913"/>
      <c r="N12" s="913"/>
      <c r="O12" s="913"/>
      <c r="P12" s="913"/>
      <c r="Q12" s="913"/>
      <c r="R12" s="913"/>
      <c r="S12" s="913"/>
      <c r="T12" s="913"/>
      <c r="U12" s="913"/>
      <c r="V12" s="913"/>
      <c r="W12" s="913"/>
      <c r="X12" s="913"/>
      <c r="Y12" s="913"/>
      <c r="Z12" s="913"/>
    </row>
    <row r="13" spans="1:26" s="914" customFormat="1" ht="12" customHeight="1">
      <c r="A13" s="639" t="str">
        <f t="shared" si="4"/>
        <v/>
      </c>
      <c r="B13" s="433"/>
      <c r="C13" s="337" t="str">
        <f t="shared" si="0"/>
        <v/>
      </c>
      <c r="D13" s="337" t="str">
        <f t="shared" si="1"/>
        <v/>
      </c>
      <c r="E13" s="337" t="str">
        <f t="shared" si="2"/>
        <v/>
      </c>
      <c r="F13" s="337" t="str">
        <f t="shared" si="3"/>
        <v/>
      </c>
      <c r="G13" s="981"/>
      <c r="H13" s="913"/>
      <c r="I13" s="913"/>
      <c r="J13" s="913"/>
      <c r="K13" s="913"/>
      <c r="L13" s="913"/>
      <c r="M13" s="913"/>
      <c r="N13" s="913"/>
      <c r="O13" s="913"/>
      <c r="P13" s="913"/>
      <c r="Q13" s="913"/>
      <c r="R13" s="913"/>
      <c r="S13" s="913"/>
      <c r="T13" s="913"/>
      <c r="U13" s="913"/>
      <c r="V13" s="913"/>
      <c r="W13" s="913"/>
      <c r="X13" s="913"/>
      <c r="Y13" s="913"/>
      <c r="Z13" s="913"/>
    </row>
    <row r="14" spans="1:26" ht="12" customHeight="1">
      <c r="A14" s="439" t="s">
        <v>591</v>
      </c>
      <c r="B14" s="367"/>
      <c r="C14" s="770">
        <f>SUM(C5:C13)</f>
        <v>0</v>
      </c>
      <c r="D14" s="770">
        <f>SUM(D5:D13)</f>
        <v>0</v>
      </c>
      <c r="E14" s="770">
        <f>SUM(E5:E13)</f>
        <v>0</v>
      </c>
      <c r="F14" s="770">
        <f>SUM(F5:F13)</f>
        <v>0</v>
      </c>
      <c r="G14" s="893"/>
    </row>
    <row r="15" spans="1:26" ht="12" customHeight="1">
      <c r="B15" s="524"/>
    </row>
    <row r="16" spans="1:26" s="274" customFormat="1" ht="12" customHeight="1">
      <c r="A16" s="792" t="s">
        <v>722</v>
      </c>
      <c r="B16" s="987"/>
      <c r="C16" s="991" t="s">
        <v>31</v>
      </c>
      <c r="D16" s="792"/>
      <c r="E16" s="792"/>
      <c r="F16" s="792"/>
      <c r="G16" s="792"/>
      <c r="H16" s="792"/>
      <c r="I16" s="792"/>
      <c r="J16" s="792"/>
      <c r="K16" s="792"/>
      <c r="L16" s="792"/>
      <c r="M16" s="792"/>
      <c r="N16" s="992"/>
      <c r="O16" s="792" t="s">
        <v>21</v>
      </c>
      <c r="P16" s="792"/>
      <c r="Q16" s="792"/>
      <c r="R16" s="792"/>
      <c r="S16" s="792"/>
      <c r="T16" s="792"/>
      <c r="U16" s="792"/>
      <c r="V16" s="792"/>
      <c r="W16" s="792"/>
      <c r="X16" s="792"/>
      <c r="Y16" s="792"/>
      <c r="Z16" s="792"/>
    </row>
    <row r="17" spans="1:31" ht="12" customHeight="1">
      <c r="A17" s="894" t="s">
        <v>723</v>
      </c>
      <c r="B17" s="894" t="s">
        <v>724</v>
      </c>
      <c r="C17" s="1313">
        <f>'2 yr monthly cash flow'!B8</f>
        <v>6</v>
      </c>
      <c r="D17" s="637">
        <f>'2 yr monthly cash flow'!C8</f>
        <v>7</v>
      </c>
      <c r="E17" s="637">
        <f>'2 yr monthly cash flow'!D8</f>
        <v>8</v>
      </c>
      <c r="F17" s="637">
        <f>'2 yr monthly cash flow'!E8</f>
        <v>9</v>
      </c>
      <c r="G17" s="637">
        <f>'2 yr monthly cash flow'!F8</f>
        <v>10</v>
      </c>
      <c r="H17" s="637">
        <f>'2 yr monthly cash flow'!G8</f>
        <v>11</v>
      </c>
      <c r="I17" s="637">
        <f>'2 yr monthly cash flow'!H8</f>
        <v>12</v>
      </c>
      <c r="J17" s="637">
        <f>'2 yr monthly cash flow'!I8</f>
        <v>1</v>
      </c>
      <c r="K17" s="637">
        <f>'2 yr monthly cash flow'!J8</f>
        <v>2</v>
      </c>
      <c r="L17" s="637">
        <f>'2 yr monthly cash flow'!K8</f>
        <v>3</v>
      </c>
      <c r="M17" s="637">
        <f>'2 yr monthly cash flow'!L8</f>
        <v>4</v>
      </c>
      <c r="N17" s="775">
        <f>'2 yr monthly cash flow'!M8</f>
        <v>5</v>
      </c>
      <c r="O17" s="776">
        <f>'2 yr monthly cash flow'!N8</f>
        <v>6</v>
      </c>
      <c r="P17" s="637">
        <f>'2 yr monthly cash flow'!O8</f>
        <v>7</v>
      </c>
      <c r="Q17" s="637">
        <f>'2 yr monthly cash flow'!P8</f>
        <v>8</v>
      </c>
      <c r="R17" s="637">
        <f>'2 yr monthly cash flow'!Q8</f>
        <v>9</v>
      </c>
      <c r="S17" s="637">
        <f>'2 yr monthly cash flow'!R8</f>
        <v>10</v>
      </c>
      <c r="T17" s="637">
        <f>'2 yr monthly cash flow'!S8</f>
        <v>11</v>
      </c>
      <c r="U17" s="637">
        <f>'2 yr monthly cash flow'!T8</f>
        <v>12</v>
      </c>
      <c r="V17" s="637">
        <f>'2 yr monthly cash flow'!U8</f>
        <v>1</v>
      </c>
      <c r="W17" s="637">
        <f>'2 yr monthly cash flow'!V8</f>
        <v>2</v>
      </c>
      <c r="X17" s="637">
        <f>'2 yr monthly cash flow'!W8</f>
        <v>3</v>
      </c>
      <c r="Y17" s="637">
        <f>'2 yr monthly cash flow'!X8</f>
        <v>4</v>
      </c>
      <c r="Z17" s="637">
        <f>'2 yr monthly cash flow'!Y8</f>
        <v>5</v>
      </c>
      <c r="AA17" s="273"/>
      <c r="AB17" s="273"/>
      <c r="AC17" s="251"/>
      <c r="AD17" s="251"/>
      <c r="AE17" s="272"/>
    </row>
    <row r="18" spans="1:31" ht="12" customHeight="1">
      <c r="A18" s="901" t="s">
        <v>422</v>
      </c>
      <c r="B18" s="901"/>
      <c r="C18" s="834"/>
      <c r="D18" s="835"/>
      <c r="E18" s="517"/>
      <c r="F18" s="517"/>
      <c r="G18" s="517"/>
      <c r="H18" s="517"/>
      <c r="I18" s="517"/>
      <c r="J18" s="517"/>
      <c r="K18" s="517"/>
      <c r="L18" s="517"/>
      <c r="M18" s="517"/>
      <c r="N18" s="849"/>
      <c r="O18" s="836"/>
      <c r="P18" s="517"/>
      <c r="Q18" s="517"/>
      <c r="R18" s="517"/>
      <c r="S18" s="517"/>
      <c r="T18" s="517"/>
      <c r="U18" s="517"/>
      <c r="V18" s="517"/>
      <c r="W18" s="517"/>
      <c r="X18" s="517"/>
      <c r="Y18" s="517"/>
      <c r="Z18" s="517"/>
      <c r="AA18" s="15"/>
      <c r="AB18" s="15"/>
    </row>
    <row r="19" spans="1:31" ht="12" customHeight="1">
      <c r="A19" s="901" t="s">
        <v>427</v>
      </c>
      <c r="B19" s="901"/>
      <c r="C19" s="834"/>
      <c r="D19" s="835"/>
      <c r="E19" s="517"/>
      <c r="F19" s="517"/>
      <c r="G19" s="517"/>
      <c r="H19" s="517"/>
      <c r="I19" s="517"/>
      <c r="J19" s="517"/>
      <c r="K19" s="517"/>
      <c r="L19" s="517"/>
      <c r="M19" s="517"/>
      <c r="N19" s="849"/>
      <c r="O19" s="836"/>
      <c r="P19" s="517"/>
      <c r="Q19" s="517"/>
      <c r="R19" s="517"/>
      <c r="S19" s="517"/>
      <c r="T19" s="517"/>
      <c r="U19" s="517"/>
      <c r="V19" s="517"/>
      <c r="W19" s="517"/>
      <c r="X19" s="517"/>
      <c r="Y19" s="517"/>
      <c r="Z19" s="517"/>
      <c r="AA19" s="15"/>
      <c r="AB19" s="15"/>
    </row>
    <row r="20" spans="1:31" ht="12" customHeight="1">
      <c r="A20" s="901" t="s">
        <v>430</v>
      </c>
      <c r="B20" s="901"/>
      <c r="C20" s="834"/>
      <c r="D20" s="835"/>
      <c r="E20" s="517"/>
      <c r="F20" s="517"/>
      <c r="G20" s="517"/>
      <c r="H20" s="517"/>
      <c r="I20" s="517"/>
      <c r="J20" s="517"/>
      <c r="K20" s="517"/>
      <c r="L20" s="517"/>
      <c r="M20" s="517"/>
      <c r="N20" s="849"/>
      <c r="O20" s="836"/>
      <c r="P20" s="517"/>
      <c r="Q20" s="517"/>
      <c r="R20" s="517"/>
      <c r="S20" s="517"/>
      <c r="T20" s="517"/>
      <c r="U20" s="517"/>
      <c r="V20" s="517"/>
      <c r="W20" s="517"/>
      <c r="X20" s="517"/>
      <c r="Y20" s="517"/>
      <c r="Z20" s="517"/>
      <c r="AA20" s="15"/>
      <c r="AB20" s="15"/>
    </row>
    <row r="21" spans="1:31" ht="12" customHeight="1">
      <c r="A21" s="901" t="s">
        <v>432</v>
      </c>
      <c r="B21" s="901"/>
      <c r="C21" s="834"/>
      <c r="D21" s="835"/>
      <c r="E21" s="517"/>
      <c r="F21" s="517"/>
      <c r="G21" s="517"/>
      <c r="H21" s="517"/>
      <c r="I21" s="517"/>
      <c r="J21" s="517"/>
      <c r="K21" s="517"/>
      <c r="L21" s="517"/>
      <c r="M21" s="517"/>
      <c r="N21" s="849"/>
      <c r="O21" s="836"/>
      <c r="P21" s="517"/>
      <c r="Q21" s="517"/>
      <c r="R21" s="517"/>
      <c r="S21" s="517"/>
      <c r="T21" s="517"/>
      <c r="U21" s="517"/>
      <c r="V21" s="517"/>
      <c r="W21" s="517"/>
      <c r="X21" s="517"/>
      <c r="Y21" s="517"/>
      <c r="Z21" s="517"/>
      <c r="AA21" s="15"/>
      <c r="AB21" s="15"/>
    </row>
    <row r="22" spans="1:31" ht="12" customHeight="1">
      <c r="A22" s="901" t="s">
        <v>413</v>
      </c>
      <c r="B22" s="901"/>
      <c r="C22" s="834"/>
      <c r="D22" s="835"/>
      <c r="E22" s="517"/>
      <c r="F22" s="517"/>
      <c r="G22" s="517"/>
      <c r="H22" s="517"/>
      <c r="I22" s="517"/>
      <c r="J22" s="517"/>
      <c r="K22" s="517"/>
      <c r="L22" s="517"/>
      <c r="M22" s="517"/>
      <c r="N22" s="849"/>
      <c r="O22" s="836"/>
      <c r="P22" s="517"/>
      <c r="Q22" s="517"/>
      <c r="R22" s="517"/>
      <c r="S22" s="517"/>
      <c r="T22" s="517"/>
      <c r="U22" s="517"/>
      <c r="V22" s="517"/>
      <c r="W22" s="517"/>
      <c r="X22" s="517"/>
      <c r="Y22" s="517"/>
      <c r="Z22" s="517"/>
      <c r="AA22" s="15"/>
      <c r="AB22" s="15"/>
    </row>
    <row r="23" spans="1:31" s="914" customFormat="1" ht="12" customHeight="1">
      <c r="A23" s="901"/>
      <c r="B23" s="901"/>
      <c r="C23" s="834"/>
      <c r="D23" s="835"/>
      <c r="E23" s="517"/>
      <c r="F23" s="517"/>
      <c r="G23" s="517"/>
      <c r="H23" s="517"/>
      <c r="I23" s="517"/>
      <c r="J23" s="517"/>
      <c r="K23" s="517"/>
      <c r="L23" s="517"/>
      <c r="M23" s="517"/>
      <c r="N23" s="849"/>
      <c r="O23" s="983"/>
      <c r="P23" s="517"/>
      <c r="Q23" s="517"/>
      <c r="R23" s="517"/>
      <c r="S23" s="517"/>
      <c r="T23" s="517"/>
      <c r="U23" s="517"/>
      <c r="V23" s="517"/>
      <c r="W23" s="517"/>
      <c r="X23" s="517"/>
      <c r="Y23" s="517"/>
      <c r="Z23" s="517"/>
      <c r="AA23" s="15"/>
      <c r="AB23" s="15"/>
    </row>
    <row r="24" spans="1:31" s="914" customFormat="1" ht="12" customHeight="1">
      <c r="A24" s="901"/>
      <c r="B24" s="901"/>
      <c r="C24" s="834"/>
      <c r="D24" s="835"/>
      <c r="E24" s="517"/>
      <c r="F24" s="517"/>
      <c r="G24" s="517"/>
      <c r="H24" s="517"/>
      <c r="I24" s="517"/>
      <c r="J24" s="517"/>
      <c r="K24" s="517"/>
      <c r="L24" s="517"/>
      <c r="M24" s="517"/>
      <c r="N24" s="849"/>
      <c r="O24" s="983"/>
      <c r="P24" s="517"/>
      <c r="Q24" s="517"/>
      <c r="R24" s="517"/>
      <c r="S24" s="517"/>
      <c r="T24" s="517"/>
      <c r="U24" s="517"/>
      <c r="V24" s="517"/>
      <c r="W24" s="517"/>
      <c r="X24" s="517"/>
      <c r="Y24" s="517"/>
      <c r="Z24" s="517"/>
      <c r="AA24" s="15"/>
      <c r="AB24" s="15"/>
    </row>
    <row r="25" spans="1:31" s="914" customFormat="1" ht="12" customHeight="1">
      <c r="A25" s="901"/>
      <c r="B25" s="901"/>
      <c r="C25" s="834"/>
      <c r="D25" s="835"/>
      <c r="E25" s="517"/>
      <c r="F25" s="517"/>
      <c r="G25" s="517"/>
      <c r="H25" s="517"/>
      <c r="I25" s="517"/>
      <c r="J25" s="517"/>
      <c r="K25" s="517"/>
      <c r="L25" s="517"/>
      <c r="M25" s="517"/>
      <c r="N25" s="849"/>
      <c r="O25" s="983"/>
      <c r="P25" s="517"/>
      <c r="Q25" s="517"/>
      <c r="R25" s="517"/>
      <c r="S25" s="517"/>
      <c r="T25" s="517"/>
      <c r="U25" s="517"/>
      <c r="V25" s="517"/>
      <c r="W25" s="517"/>
      <c r="X25" s="517"/>
      <c r="Y25" s="517"/>
      <c r="Z25" s="517"/>
      <c r="AA25" s="15"/>
      <c r="AB25" s="15"/>
    </row>
    <row r="26" spans="1:31" s="914" customFormat="1" ht="12" customHeight="1">
      <c r="A26" s="901"/>
      <c r="B26" s="901"/>
      <c r="C26" s="834"/>
      <c r="D26" s="835"/>
      <c r="E26" s="517"/>
      <c r="F26" s="517"/>
      <c r="G26" s="517"/>
      <c r="H26" s="517"/>
      <c r="I26" s="517"/>
      <c r="J26" s="517"/>
      <c r="K26" s="517"/>
      <c r="L26" s="517"/>
      <c r="M26" s="517"/>
      <c r="N26" s="849"/>
      <c r="O26" s="983"/>
      <c r="P26" s="517"/>
      <c r="Q26" s="517"/>
      <c r="R26" s="517"/>
      <c r="S26" s="517"/>
      <c r="T26" s="517"/>
      <c r="U26" s="517"/>
      <c r="V26" s="517"/>
      <c r="W26" s="517"/>
      <c r="X26" s="517"/>
      <c r="Y26" s="517"/>
      <c r="Z26" s="517"/>
      <c r="AA26" s="15"/>
      <c r="AB26" s="15"/>
    </row>
    <row r="27" spans="1:31" ht="12" customHeight="1">
      <c r="A27" s="900" t="s">
        <v>289</v>
      </c>
      <c r="B27" s="900"/>
      <c r="C27" s="902">
        <f>SUM(C18:C26)</f>
        <v>0</v>
      </c>
      <c r="D27" s="902">
        <f t="shared" ref="D27:Z27" si="5">SUM(D18:D26)</f>
        <v>0</v>
      </c>
      <c r="E27" s="902">
        <f t="shared" si="5"/>
        <v>0</v>
      </c>
      <c r="F27" s="902">
        <f t="shared" si="5"/>
        <v>0</v>
      </c>
      <c r="G27" s="902">
        <f t="shared" si="5"/>
        <v>0</v>
      </c>
      <c r="H27" s="902">
        <f t="shared" si="5"/>
        <v>0</v>
      </c>
      <c r="I27" s="902">
        <f t="shared" si="5"/>
        <v>0</v>
      </c>
      <c r="J27" s="902">
        <f t="shared" si="5"/>
        <v>0</v>
      </c>
      <c r="K27" s="902">
        <f t="shared" si="5"/>
        <v>0</v>
      </c>
      <c r="L27" s="902">
        <f t="shared" si="5"/>
        <v>0</v>
      </c>
      <c r="M27" s="902">
        <f t="shared" si="5"/>
        <v>0</v>
      </c>
      <c r="N27" s="902">
        <f t="shared" si="5"/>
        <v>0</v>
      </c>
      <c r="O27" s="902">
        <f t="shared" si="5"/>
        <v>0</v>
      </c>
      <c r="P27" s="902">
        <f t="shared" si="5"/>
        <v>0</v>
      </c>
      <c r="Q27" s="902">
        <f t="shared" si="5"/>
        <v>0</v>
      </c>
      <c r="R27" s="902">
        <f t="shared" si="5"/>
        <v>0</v>
      </c>
      <c r="S27" s="902">
        <f t="shared" si="5"/>
        <v>0</v>
      </c>
      <c r="T27" s="902">
        <f t="shared" si="5"/>
        <v>0</v>
      </c>
      <c r="U27" s="902">
        <f t="shared" si="5"/>
        <v>0</v>
      </c>
      <c r="V27" s="902">
        <f t="shared" si="5"/>
        <v>0</v>
      </c>
      <c r="W27" s="902">
        <f t="shared" si="5"/>
        <v>0</v>
      </c>
      <c r="X27" s="902">
        <f t="shared" si="5"/>
        <v>0</v>
      </c>
      <c r="Y27" s="902">
        <f t="shared" si="5"/>
        <v>0</v>
      </c>
      <c r="Z27" s="902">
        <f t="shared" si="5"/>
        <v>0</v>
      </c>
    </row>
    <row r="28" spans="1:31" ht="12" customHeight="1">
      <c r="B28" s="524"/>
      <c r="N28" s="808"/>
    </row>
    <row r="29" spans="1:31" ht="12" customHeight="1">
      <c r="B29" s="524"/>
    </row>
    <row r="30" spans="1:31" ht="12" customHeight="1">
      <c r="B30" s="524"/>
    </row>
    <row r="31" spans="1:31" ht="12" customHeight="1">
      <c r="B31" s="524"/>
    </row>
    <row r="32" spans="1:31" ht="12" customHeight="1">
      <c r="B32" s="524"/>
    </row>
    <row r="33" spans="2:2" ht="12" customHeight="1">
      <c r="B33" s="524"/>
    </row>
    <row r="34" spans="2:2" ht="12" customHeight="1">
      <c r="B34" s="524"/>
    </row>
    <row r="35" spans="2:2" ht="12" customHeight="1">
      <c r="B35" s="524"/>
    </row>
    <row r="36" spans="2:2" ht="12" customHeight="1">
      <c r="B36" s="524"/>
    </row>
    <row r="37" spans="2:2" ht="12" customHeight="1">
      <c r="B37" s="524"/>
    </row>
    <row r="38" spans="2:2" ht="12" customHeight="1">
      <c r="B38" s="524"/>
    </row>
    <row r="39" spans="2:2" ht="12" customHeight="1">
      <c r="B39" s="524"/>
    </row>
    <row r="40" spans="2:2" ht="12" customHeight="1">
      <c r="B40" s="524"/>
    </row>
    <row r="41" spans="2:2" ht="12" customHeight="1">
      <c r="B41" s="524"/>
    </row>
    <row r="42" spans="2:2" ht="12" customHeight="1">
      <c r="B42" s="524"/>
    </row>
    <row r="43" spans="2:2" ht="12" customHeight="1">
      <c r="B43" s="524"/>
    </row>
    <row r="44" spans="2:2" ht="12" customHeight="1">
      <c r="B44" s="524"/>
    </row>
    <row r="45" spans="2:2" ht="12" customHeight="1">
      <c r="B45" s="524"/>
    </row>
    <row r="46" spans="2:2" ht="12" customHeight="1">
      <c r="B46" s="524"/>
    </row>
    <row r="47" spans="2:2" ht="12" customHeight="1">
      <c r="B47" s="524"/>
    </row>
    <row r="48" spans="2:2" ht="12" customHeight="1">
      <c r="B48" s="524"/>
    </row>
    <row r="49" spans="2:2" ht="12" customHeight="1">
      <c r="B49" s="524"/>
    </row>
    <row r="50" spans="2:2" ht="12" customHeight="1">
      <c r="B50" s="524"/>
    </row>
    <row r="51" spans="2:2" ht="12" customHeight="1">
      <c r="B51" s="524"/>
    </row>
    <row r="52" spans="2:2" ht="12" customHeight="1">
      <c r="B52" s="524"/>
    </row>
    <row r="53" spans="2:2" ht="12" customHeight="1">
      <c r="B53" s="524"/>
    </row>
    <row r="54" spans="2:2" ht="12" customHeight="1">
      <c r="B54" s="524"/>
    </row>
    <row r="55" spans="2:2" ht="12" customHeight="1">
      <c r="B55" s="524"/>
    </row>
    <row r="56" spans="2:2" ht="12" customHeight="1">
      <c r="B56" s="524"/>
    </row>
    <row r="57" spans="2:2" ht="12" customHeight="1">
      <c r="B57" s="524"/>
    </row>
    <row r="58" spans="2:2" ht="12" customHeight="1">
      <c r="B58" s="524"/>
    </row>
    <row r="59" spans="2:2" ht="12" customHeight="1">
      <c r="B59" s="524"/>
    </row>
    <row r="60" spans="2:2" ht="12" customHeight="1">
      <c r="B60" s="524"/>
    </row>
    <row r="61" spans="2:2" ht="12" customHeight="1">
      <c r="B61" s="524"/>
    </row>
    <row r="62" spans="2:2" ht="12" customHeight="1">
      <c r="B62" s="524"/>
    </row>
    <row r="63" spans="2:2" ht="12" customHeight="1">
      <c r="B63" s="524"/>
    </row>
    <row r="64" spans="2:2" ht="12" customHeight="1">
      <c r="B64" s="524"/>
    </row>
    <row r="65" spans="2:2" ht="12" customHeight="1">
      <c r="B65" s="524"/>
    </row>
    <row r="66" spans="2:2" ht="12" customHeight="1">
      <c r="B66" s="524"/>
    </row>
    <row r="67" spans="2:2" ht="12" customHeight="1">
      <c r="B67" s="524"/>
    </row>
    <row r="68" spans="2:2" ht="12" customHeight="1">
      <c r="B68" s="524"/>
    </row>
    <row r="69" spans="2:2" ht="12" customHeight="1">
      <c r="B69" s="524"/>
    </row>
    <row r="70" spans="2:2" ht="12" customHeight="1">
      <c r="B70" s="524"/>
    </row>
    <row r="71" spans="2:2" ht="12" customHeight="1">
      <c r="B71" s="524"/>
    </row>
    <row r="72" spans="2:2" ht="12" customHeight="1">
      <c r="B72" s="524"/>
    </row>
    <row r="73" spans="2:2" ht="12" customHeight="1">
      <c r="B73" s="524"/>
    </row>
    <row r="74" spans="2:2" ht="12" customHeight="1">
      <c r="B74" s="524"/>
    </row>
    <row r="75" spans="2:2" ht="12" customHeight="1">
      <c r="B75" s="524"/>
    </row>
    <row r="76" spans="2:2" ht="12" customHeight="1">
      <c r="B76" s="524"/>
    </row>
    <row r="77" spans="2:2" ht="12" customHeight="1">
      <c r="B77" s="524"/>
    </row>
    <row r="78" spans="2:2" ht="12" customHeight="1">
      <c r="B78" s="524"/>
    </row>
    <row r="79" spans="2:2" ht="12" customHeight="1">
      <c r="B79" s="524"/>
    </row>
    <row r="80" spans="2:2" ht="12" customHeight="1">
      <c r="B80" s="524"/>
    </row>
    <row r="81" spans="2:2" ht="12" customHeight="1">
      <c r="B81" s="524"/>
    </row>
    <row r="82" spans="2:2" ht="12" customHeight="1">
      <c r="B82" s="524"/>
    </row>
    <row r="83" spans="2:2" ht="12" customHeight="1">
      <c r="B83" s="524"/>
    </row>
    <row r="84" spans="2:2" ht="12" customHeight="1">
      <c r="B84" s="524"/>
    </row>
    <row r="85" spans="2:2" ht="12" customHeight="1">
      <c r="B85" s="524"/>
    </row>
    <row r="86" spans="2:2" ht="12" customHeight="1">
      <c r="B86" s="524"/>
    </row>
    <row r="87" spans="2:2" ht="12" customHeight="1">
      <c r="B87" s="524"/>
    </row>
    <row r="88" spans="2:2" ht="12" customHeight="1">
      <c r="B88" s="524"/>
    </row>
    <row r="89" spans="2:2" ht="12" customHeight="1">
      <c r="B89" s="524"/>
    </row>
    <row r="90" spans="2:2" ht="12" customHeight="1">
      <c r="B90" s="524"/>
    </row>
    <row r="91" spans="2:2" ht="12" customHeight="1">
      <c r="B91" s="524"/>
    </row>
    <row r="92" spans="2:2" ht="12" customHeight="1">
      <c r="B92" s="524"/>
    </row>
    <row r="93" spans="2:2" ht="12" customHeight="1">
      <c r="B93" s="524"/>
    </row>
    <row r="94" spans="2:2" ht="12" customHeight="1">
      <c r="B94" s="524"/>
    </row>
    <row r="95" spans="2:2" ht="12" customHeight="1">
      <c r="B95" s="524"/>
    </row>
    <row r="96" spans="2:2" ht="12" customHeight="1">
      <c r="B96" s="524"/>
    </row>
    <row r="97" spans="2:2" ht="12" customHeight="1">
      <c r="B97" s="524"/>
    </row>
    <row r="98" spans="2:2" ht="12" customHeight="1">
      <c r="B98" s="524"/>
    </row>
    <row r="99" spans="2:2" ht="12" customHeight="1">
      <c r="B99" s="524"/>
    </row>
    <row r="100" spans="2:2" ht="12" customHeight="1">
      <c r="B100" s="524"/>
    </row>
    <row r="101" spans="2:2" ht="12" customHeight="1">
      <c r="B101" s="524"/>
    </row>
    <row r="102" spans="2:2" ht="12" customHeight="1">
      <c r="B102" s="524"/>
    </row>
    <row r="103" spans="2:2" ht="12" customHeight="1">
      <c r="B103" s="524"/>
    </row>
    <row r="104" spans="2:2" ht="12" customHeight="1">
      <c r="B104" s="524"/>
    </row>
    <row r="105" spans="2:2" ht="12" customHeight="1">
      <c r="B105" s="524"/>
    </row>
    <row r="106" spans="2:2" ht="12" customHeight="1">
      <c r="B106" s="524"/>
    </row>
    <row r="107" spans="2:2" ht="12" customHeight="1">
      <c r="B107" s="524"/>
    </row>
    <row r="108" spans="2:2" ht="12" customHeight="1">
      <c r="B108" s="524"/>
    </row>
    <row r="109" spans="2:2" ht="12" customHeight="1">
      <c r="B109" s="524"/>
    </row>
    <row r="110" spans="2:2" ht="12" customHeight="1">
      <c r="B110" s="524"/>
    </row>
    <row r="111" spans="2:2" ht="12" customHeight="1">
      <c r="B111" s="524"/>
    </row>
    <row r="112" spans="2:2" ht="12" customHeight="1">
      <c r="B112" s="524"/>
    </row>
    <row r="113" spans="2:2" ht="12" customHeight="1">
      <c r="B113" s="524"/>
    </row>
    <row r="114" spans="2:2" ht="12" customHeight="1">
      <c r="B114" s="524"/>
    </row>
    <row r="115" spans="2:2" ht="12" customHeight="1">
      <c r="B115" s="524"/>
    </row>
    <row r="116" spans="2:2" ht="12" customHeight="1">
      <c r="B116" s="524"/>
    </row>
    <row r="117" spans="2:2" ht="12" customHeight="1">
      <c r="B117" s="524"/>
    </row>
    <row r="118" spans="2:2" ht="12" customHeight="1">
      <c r="B118" s="524"/>
    </row>
    <row r="119" spans="2:2" ht="12" customHeight="1">
      <c r="B119" s="524"/>
    </row>
    <row r="120" spans="2:2" ht="12" customHeight="1">
      <c r="B120" s="524"/>
    </row>
    <row r="121" spans="2:2" ht="12" customHeight="1">
      <c r="B121" s="524"/>
    </row>
    <row r="122" spans="2:2" ht="12" customHeight="1">
      <c r="B122" s="524"/>
    </row>
    <row r="123" spans="2:2" ht="12" customHeight="1">
      <c r="B123" s="524"/>
    </row>
    <row r="124" spans="2:2" ht="12" customHeight="1">
      <c r="B124" s="524"/>
    </row>
    <row r="125" spans="2:2" ht="12" customHeight="1">
      <c r="B125" s="524"/>
    </row>
    <row r="126" spans="2:2" ht="12" customHeight="1">
      <c r="B126" s="524"/>
    </row>
    <row r="127" spans="2:2" ht="12" customHeight="1">
      <c r="B127" s="524"/>
    </row>
    <row r="128" spans="2:2" ht="12" customHeight="1">
      <c r="B128" s="524"/>
    </row>
    <row r="129" spans="2:2" ht="12" customHeight="1">
      <c r="B129" s="524"/>
    </row>
    <row r="130" spans="2:2" ht="12" customHeight="1">
      <c r="B130" s="524"/>
    </row>
    <row r="131" spans="2:2" ht="12" customHeight="1">
      <c r="B131" s="524"/>
    </row>
    <row r="132" spans="2:2" ht="12" customHeight="1">
      <c r="B132" s="524"/>
    </row>
    <row r="133" spans="2:2" ht="12" customHeight="1">
      <c r="B133" s="524"/>
    </row>
    <row r="134" spans="2:2" ht="12" customHeight="1">
      <c r="B134" s="524"/>
    </row>
    <row r="135" spans="2:2" ht="12" customHeight="1">
      <c r="B135" s="524"/>
    </row>
    <row r="136" spans="2:2" ht="12" customHeight="1">
      <c r="B136" s="524"/>
    </row>
    <row r="137" spans="2:2" ht="12" customHeight="1">
      <c r="B137" s="524"/>
    </row>
    <row r="138" spans="2:2" ht="12" customHeight="1">
      <c r="B138" s="524"/>
    </row>
    <row r="139" spans="2:2" ht="12" customHeight="1">
      <c r="B139" s="524"/>
    </row>
    <row r="140" spans="2:2" ht="12" customHeight="1">
      <c r="B140" s="524"/>
    </row>
    <row r="141" spans="2:2" ht="12" customHeight="1">
      <c r="B141" s="524"/>
    </row>
    <row r="142" spans="2:2" ht="12" customHeight="1">
      <c r="B142" s="524"/>
    </row>
    <row r="143" spans="2:2" ht="12" customHeight="1">
      <c r="B143" s="524"/>
    </row>
    <row r="144" spans="2:2" ht="12" customHeight="1">
      <c r="B144" s="524"/>
    </row>
    <row r="145" spans="2:2" ht="12" customHeight="1">
      <c r="B145" s="524"/>
    </row>
    <row r="146" spans="2:2" ht="12" customHeight="1">
      <c r="B146" s="524"/>
    </row>
    <row r="147" spans="2:2" ht="12" customHeight="1">
      <c r="B147" s="524"/>
    </row>
    <row r="148" spans="2:2" ht="12" customHeight="1">
      <c r="B148" s="524"/>
    </row>
    <row r="149" spans="2:2" ht="12" customHeight="1">
      <c r="B149" s="524"/>
    </row>
    <row r="150" spans="2:2" ht="12" customHeight="1">
      <c r="B150" s="524"/>
    </row>
    <row r="151" spans="2:2" ht="12" customHeight="1">
      <c r="B151" s="524"/>
    </row>
    <row r="152" spans="2:2" ht="12" customHeight="1">
      <c r="B152" s="524"/>
    </row>
    <row r="153" spans="2:2" ht="12" customHeight="1">
      <c r="B153" s="524"/>
    </row>
    <row r="154" spans="2:2" ht="12" customHeight="1">
      <c r="B154" s="524"/>
    </row>
    <row r="155" spans="2:2" ht="12" customHeight="1">
      <c r="B155" s="524"/>
    </row>
    <row r="156" spans="2:2" ht="12" customHeight="1">
      <c r="B156" s="524"/>
    </row>
    <row r="157" spans="2:2" ht="12" customHeight="1">
      <c r="B157" s="524"/>
    </row>
    <row r="158" spans="2:2" ht="12" customHeight="1">
      <c r="B158" s="524"/>
    </row>
    <row r="159" spans="2:2" ht="12" customHeight="1">
      <c r="B159" s="524"/>
    </row>
    <row r="160" spans="2:2" ht="12" customHeight="1">
      <c r="B160" s="524"/>
    </row>
    <row r="161" spans="2:2" ht="12" customHeight="1">
      <c r="B161" s="524"/>
    </row>
    <row r="162" spans="2:2" ht="12" customHeight="1">
      <c r="B162" s="524"/>
    </row>
    <row r="163" spans="2:2" ht="12" customHeight="1">
      <c r="B163" s="524"/>
    </row>
    <row r="164" spans="2:2" ht="12" customHeight="1">
      <c r="B164" s="524"/>
    </row>
    <row r="165" spans="2:2" ht="12" customHeight="1">
      <c r="B165" s="524"/>
    </row>
    <row r="166" spans="2:2" ht="12" customHeight="1">
      <c r="B166" s="524"/>
    </row>
    <row r="167" spans="2:2" ht="12" customHeight="1">
      <c r="B167" s="524"/>
    </row>
    <row r="168" spans="2:2" ht="12" customHeight="1">
      <c r="B168" s="524"/>
    </row>
    <row r="169" spans="2:2" ht="12" customHeight="1">
      <c r="B169" s="524"/>
    </row>
    <row r="170" spans="2:2" ht="12" customHeight="1">
      <c r="B170" s="524"/>
    </row>
    <row r="171" spans="2:2" ht="12" customHeight="1">
      <c r="B171" s="524"/>
    </row>
    <row r="172" spans="2:2" ht="12" customHeight="1">
      <c r="B172" s="524"/>
    </row>
    <row r="173" spans="2:2" ht="12" customHeight="1">
      <c r="B173" s="524"/>
    </row>
    <row r="174" spans="2:2" ht="12" customHeight="1">
      <c r="B174" s="524"/>
    </row>
    <row r="175" spans="2:2" ht="12" customHeight="1">
      <c r="B175" s="524"/>
    </row>
    <row r="176" spans="2:2" ht="12" customHeight="1">
      <c r="B176" s="524"/>
    </row>
    <row r="177" spans="2:2" ht="12" customHeight="1">
      <c r="B177" s="524"/>
    </row>
    <row r="178" spans="2:2" ht="12" customHeight="1">
      <c r="B178" s="524"/>
    </row>
    <row r="179" spans="2:2" ht="12" customHeight="1">
      <c r="B179" s="524"/>
    </row>
    <row r="180" spans="2:2" ht="12" customHeight="1">
      <c r="B180" s="524"/>
    </row>
    <row r="181" spans="2:2" ht="12" customHeight="1">
      <c r="B181" s="524"/>
    </row>
    <row r="182" spans="2:2" ht="12" customHeight="1">
      <c r="B182" s="524"/>
    </row>
    <row r="183" spans="2:2" ht="12" customHeight="1">
      <c r="B183" s="524"/>
    </row>
    <row r="184" spans="2:2" ht="12" customHeight="1">
      <c r="B184" s="524"/>
    </row>
    <row r="185" spans="2:2" ht="12" customHeight="1">
      <c r="B185" s="524"/>
    </row>
    <row r="186" spans="2:2" ht="12" customHeight="1">
      <c r="B186" s="524"/>
    </row>
    <row r="187" spans="2:2" ht="12" customHeight="1">
      <c r="B187" s="524"/>
    </row>
    <row r="188" spans="2:2" ht="12" customHeight="1">
      <c r="B188" s="524"/>
    </row>
    <row r="189" spans="2:2" ht="12" customHeight="1">
      <c r="B189" s="524"/>
    </row>
    <row r="190" spans="2:2" ht="12" customHeight="1">
      <c r="B190" s="524"/>
    </row>
    <row r="191" spans="2:2" ht="12" customHeight="1">
      <c r="B191" s="524"/>
    </row>
    <row r="192" spans="2:2" ht="12" customHeight="1">
      <c r="B192" s="524"/>
    </row>
    <row r="193" spans="2:2" ht="12" customHeight="1">
      <c r="B193" s="524"/>
    </row>
    <row r="194" spans="2:2" ht="12" customHeight="1">
      <c r="B194" s="524"/>
    </row>
    <row r="195" spans="2:2" ht="12" customHeight="1">
      <c r="B195" s="524"/>
    </row>
    <row r="196" spans="2:2" ht="12" customHeight="1">
      <c r="B196" s="524"/>
    </row>
    <row r="197" spans="2:2" ht="12" customHeight="1">
      <c r="B197" s="524"/>
    </row>
    <row r="198" spans="2:2" ht="12" customHeight="1">
      <c r="B198" s="524"/>
    </row>
    <row r="199" spans="2:2" ht="12" customHeight="1">
      <c r="B199" s="524"/>
    </row>
    <row r="200" spans="2:2" ht="12" customHeight="1">
      <c r="B200" s="524"/>
    </row>
    <row r="201" spans="2:2" ht="12" customHeight="1">
      <c r="B201" s="524"/>
    </row>
    <row r="202" spans="2:2" ht="12" customHeight="1">
      <c r="B202" s="524"/>
    </row>
    <row r="203" spans="2:2" ht="12" customHeight="1">
      <c r="B203" s="524"/>
    </row>
    <row r="204" spans="2:2" ht="12" customHeight="1">
      <c r="B204" s="524"/>
    </row>
    <row r="205" spans="2:2" ht="12" customHeight="1">
      <c r="B205" s="524"/>
    </row>
    <row r="206" spans="2:2" ht="12" customHeight="1">
      <c r="B206" s="524"/>
    </row>
    <row r="207" spans="2:2" ht="12" customHeight="1">
      <c r="B207" s="524"/>
    </row>
    <row r="208" spans="2:2" ht="12" customHeight="1">
      <c r="B208" s="524"/>
    </row>
    <row r="209" spans="2:2" ht="12" customHeight="1">
      <c r="B209" s="524"/>
    </row>
    <row r="210" spans="2:2" ht="12" customHeight="1">
      <c r="B210" s="524"/>
    </row>
    <row r="211" spans="2:2" ht="12" customHeight="1">
      <c r="B211" s="524"/>
    </row>
    <row r="212" spans="2:2" ht="12" customHeight="1">
      <c r="B212" s="524"/>
    </row>
    <row r="213" spans="2:2" ht="12" customHeight="1">
      <c r="B213" s="524"/>
    </row>
    <row r="214" spans="2:2" ht="12" customHeight="1">
      <c r="B214" s="524"/>
    </row>
    <row r="215" spans="2:2" ht="12" customHeight="1">
      <c r="B215" s="524"/>
    </row>
    <row r="216" spans="2:2" ht="12" customHeight="1">
      <c r="B216" s="524"/>
    </row>
    <row r="217" spans="2:2" ht="12" customHeight="1">
      <c r="B217" s="524"/>
    </row>
    <row r="218" spans="2:2" ht="12" customHeight="1">
      <c r="B218" s="524"/>
    </row>
    <row r="219" spans="2:2" ht="12" customHeight="1">
      <c r="B219" s="524"/>
    </row>
    <row r="220" spans="2:2" ht="12" customHeight="1">
      <c r="B220" s="524"/>
    </row>
    <row r="221" spans="2:2" ht="12" customHeight="1">
      <c r="B221" s="524"/>
    </row>
    <row r="222" spans="2:2" ht="12" customHeight="1">
      <c r="B222" s="524"/>
    </row>
    <row r="223" spans="2:2" ht="12" customHeight="1">
      <c r="B223" s="524"/>
    </row>
    <row r="224" spans="2:2" ht="12" customHeight="1">
      <c r="B224" s="524"/>
    </row>
    <row r="225" spans="2:2" ht="12" customHeight="1">
      <c r="B225" s="524"/>
    </row>
    <row r="226" spans="2:2" ht="12" customHeight="1">
      <c r="B226" s="524"/>
    </row>
    <row r="227" spans="2:2" ht="12" customHeight="1">
      <c r="B227" s="524"/>
    </row>
    <row r="228" spans="2:2" ht="12" customHeight="1">
      <c r="B228" s="524"/>
    </row>
    <row r="229" spans="2:2" ht="12" customHeight="1">
      <c r="B229" s="524"/>
    </row>
    <row r="230" spans="2:2" ht="12" customHeight="1">
      <c r="B230" s="524"/>
    </row>
    <row r="231" spans="2:2" ht="12" customHeight="1">
      <c r="B231" s="524"/>
    </row>
    <row r="232" spans="2:2" ht="12" customHeight="1">
      <c r="B232" s="524"/>
    </row>
    <row r="233" spans="2:2" ht="12" customHeight="1">
      <c r="B233" s="524"/>
    </row>
    <row r="234" spans="2:2" ht="12" customHeight="1">
      <c r="B234" s="524"/>
    </row>
    <row r="235" spans="2:2" ht="12" customHeight="1">
      <c r="B235" s="524"/>
    </row>
    <row r="236" spans="2:2" ht="12" customHeight="1">
      <c r="B236" s="524"/>
    </row>
    <row r="237" spans="2:2" ht="12" customHeight="1">
      <c r="B237" s="524"/>
    </row>
    <row r="238" spans="2:2" ht="12" customHeight="1">
      <c r="B238" s="524"/>
    </row>
    <row r="239" spans="2:2" ht="12" customHeight="1">
      <c r="B239" s="524"/>
    </row>
    <row r="240" spans="2:2" ht="12" customHeight="1">
      <c r="B240" s="524"/>
    </row>
    <row r="241" spans="2:2" ht="12" customHeight="1">
      <c r="B241" s="524"/>
    </row>
    <row r="242" spans="2:2" ht="12" customHeight="1">
      <c r="B242" s="524"/>
    </row>
    <row r="243" spans="2:2" ht="12" customHeight="1">
      <c r="B243" s="524"/>
    </row>
    <row r="244" spans="2:2" ht="12" customHeight="1">
      <c r="B244" s="524"/>
    </row>
    <row r="245" spans="2:2" ht="12" customHeight="1">
      <c r="B245" s="524"/>
    </row>
    <row r="246" spans="2:2" ht="12" customHeight="1">
      <c r="B246" s="524"/>
    </row>
    <row r="247" spans="2:2" ht="12" customHeight="1">
      <c r="B247" s="524"/>
    </row>
    <row r="248" spans="2:2" ht="12" customHeight="1">
      <c r="B248" s="524"/>
    </row>
    <row r="249" spans="2:2" ht="12" customHeight="1">
      <c r="B249" s="524"/>
    </row>
    <row r="250" spans="2:2" ht="12" customHeight="1">
      <c r="B250" s="524"/>
    </row>
    <row r="251" spans="2:2" ht="12" customHeight="1">
      <c r="B251" s="524"/>
    </row>
    <row r="252" spans="2:2" ht="12" customHeight="1">
      <c r="B252" s="524"/>
    </row>
    <row r="253" spans="2:2" ht="12" customHeight="1">
      <c r="B253" s="524"/>
    </row>
    <row r="254" spans="2:2" ht="12" customHeight="1">
      <c r="B254" s="524"/>
    </row>
    <row r="255" spans="2:2" ht="12" customHeight="1">
      <c r="B255" s="524"/>
    </row>
    <row r="256" spans="2:2" ht="12" customHeight="1">
      <c r="B256" s="524"/>
    </row>
    <row r="257" spans="2:2" ht="12" customHeight="1">
      <c r="B257" s="524"/>
    </row>
    <row r="258" spans="2:2" ht="12" customHeight="1">
      <c r="B258" s="524"/>
    </row>
    <row r="259" spans="2:2" ht="12" customHeight="1">
      <c r="B259" s="524"/>
    </row>
    <row r="260" spans="2:2" ht="12" customHeight="1">
      <c r="B260" s="524"/>
    </row>
    <row r="261" spans="2:2" ht="12" customHeight="1">
      <c r="B261" s="524"/>
    </row>
    <row r="262" spans="2:2" ht="12" customHeight="1">
      <c r="B262" s="524"/>
    </row>
    <row r="263" spans="2:2" ht="12" customHeight="1">
      <c r="B263" s="524"/>
    </row>
    <row r="264" spans="2:2" ht="12" customHeight="1">
      <c r="B264" s="524"/>
    </row>
    <row r="265" spans="2:2" ht="12" customHeight="1">
      <c r="B265" s="524"/>
    </row>
    <row r="266" spans="2:2" ht="12" customHeight="1">
      <c r="B266" s="524"/>
    </row>
    <row r="267" spans="2:2" ht="12" customHeight="1">
      <c r="B267" s="524"/>
    </row>
    <row r="268" spans="2:2" ht="12" customHeight="1">
      <c r="B268" s="524"/>
    </row>
    <row r="269" spans="2:2" ht="12" customHeight="1">
      <c r="B269" s="524"/>
    </row>
    <row r="270" spans="2:2" ht="12" customHeight="1">
      <c r="B270" s="524"/>
    </row>
    <row r="271" spans="2:2" ht="12" customHeight="1">
      <c r="B271" s="524"/>
    </row>
    <row r="272" spans="2:2" ht="12" customHeight="1">
      <c r="B272" s="524"/>
    </row>
    <row r="273" spans="2:2" ht="12" customHeight="1">
      <c r="B273" s="524"/>
    </row>
    <row r="274" spans="2:2" ht="12" customHeight="1">
      <c r="B274" s="524"/>
    </row>
    <row r="275" spans="2:2" ht="12" customHeight="1">
      <c r="B275" s="524"/>
    </row>
    <row r="276" spans="2:2" ht="12" customHeight="1">
      <c r="B276" s="524"/>
    </row>
    <row r="277" spans="2:2" ht="12" customHeight="1">
      <c r="B277" s="524"/>
    </row>
    <row r="278" spans="2:2" ht="12" customHeight="1">
      <c r="B278" s="524"/>
    </row>
    <row r="279" spans="2:2" ht="12" customHeight="1">
      <c r="B279" s="524"/>
    </row>
    <row r="280" spans="2:2" ht="12" customHeight="1">
      <c r="B280" s="524"/>
    </row>
    <row r="281" spans="2:2" ht="12" customHeight="1">
      <c r="B281" s="524"/>
    </row>
    <row r="282" spans="2:2" ht="12" customHeight="1">
      <c r="B282" s="524"/>
    </row>
    <row r="283" spans="2:2" ht="12" customHeight="1">
      <c r="B283" s="524"/>
    </row>
    <row r="284" spans="2:2" ht="12" customHeight="1">
      <c r="B284" s="524"/>
    </row>
    <row r="285" spans="2:2" ht="12" customHeight="1">
      <c r="B285" s="524"/>
    </row>
    <row r="286" spans="2:2" ht="12" customHeight="1">
      <c r="B286" s="524"/>
    </row>
    <row r="287" spans="2:2" ht="12" customHeight="1">
      <c r="B287" s="524"/>
    </row>
    <row r="288" spans="2:2" ht="12" customHeight="1">
      <c r="B288" s="524"/>
    </row>
    <row r="289" spans="2:2" ht="12" customHeight="1">
      <c r="B289" s="524"/>
    </row>
    <row r="290" spans="2:2" ht="12" customHeight="1">
      <c r="B290" s="524"/>
    </row>
    <row r="291" spans="2:2" ht="12" customHeight="1">
      <c r="B291" s="524"/>
    </row>
    <row r="292" spans="2:2" ht="12" customHeight="1">
      <c r="B292" s="524"/>
    </row>
    <row r="293" spans="2:2" ht="12" customHeight="1">
      <c r="B293" s="524"/>
    </row>
    <row r="294" spans="2:2" ht="12" customHeight="1">
      <c r="B294" s="524"/>
    </row>
    <row r="295" spans="2:2" ht="12" customHeight="1">
      <c r="B295" s="524"/>
    </row>
    <row r="296" spans="2:2" ht="12" customHeight="1">
      <c r="B296" s="524"/>
    </row>
    <row r="297" spans="2:2" ht="12" customHeight="1">
      <c r="B297" s="524"/>
    </row>
    <row r="298" spans="2:2" ht="12" customHeight="1">
      <c r="B298" s="524"/>
    </row>
    <row r="299" spans="2:2" ht="12" customHeight="1">
      <c r="B299" s="524"/>
    </row>
    <row r="300" spans="2:2" ht="12" customHeight="1">
      <c r="B300" s="524"/>
    </row>
    <row r="301" spans="2:2" ht="12" customHeight="1">
      <c r="B301" s="524"/>
    </row>
    <row r="302" spans="2:2" ht="12" customHeight="1">
      <c r="B302" s="524"/>
    </row>
    <row r="303" spans="2:2" ht="12" customHeight="1">
      <c r="B303" s="524"/>
    </row>
    <row r="304" spans="2:2" ht="12" customHeight="1">
      <c r="B304" s="524"/>
    </row>
    <row r="305" spans="2:2" ht="12" customHeight="1">
      <c r="B305" s="524"/>
    </row>
    <row r="306" spans="2:2" ht="12" customHeight="1">
      <c r="B306" s="524"/>
    </row>
    <row r="307" spans="2:2" ht="12" customHeight="1">
      <c r="B307" s="524"/>
    </row>
    <row r="308" spans="2:2" ht="12" customHeight="1">
      <c r="B308" s="524"/>
    </row>
    <row r="309" spans="2:2" ht="12" customHeight="1">
      <c r="B309" s="524"/>
    </row>
    <row r="310" spans="2:2" ht="12" customHeight="1">
      <c r="B310" s="524"/>
    </row>
    <row r="311" spans="2:2" ht="12" customHeight="1">
      <c r="B311" s="524"/>
    </row>
    <row r="312" spans="2:2" ht="12" customHeight="1">
      <c r="B312" s="524"/>
    </row>
    <row r="313" spans="2:2" ht="12" customHeight="1">
      <c r="B313" s="524"/>
    </row>
    <row r="314" spans="2:2" ht="12" customHeight="1">
      <c r="B314" s="524"/>
    </row>
    <row r="315" spans="2:2" ht="12" customHeight="1">
      <c r="B315" s="524"/>
    </row>
    <row r="316" spans="2:2" ht="12" customHeight="1">
      <c r="B316" s="524"/>
    </row>
    <row r="317" spans="2:2" ht="12" customHeight="1">
      <c r="B317" s="524"/>
    </row>
    <row r="318" spans="2:2" ht="12" customHeight="1">
      <c r="B318" s="524"/>
    </row>
    <row r="319" spans="2:2" ht="12" customHeight="1">
      <c r="B319" s="524"/>
    </row>
    <row r="320" spans="2:2" ht="12" customHeight="1">
      <c r="B320" s="524"/>
    </row>
    <row r="321" spans="2:2" ht="12" customHeight="1">
      <c r="B321" s="524"/>
    </row>
    <row r="322" spans="2:2" ht="12" customHeight="1">
      <c r="B322" s="524"/>
    </row>
    <row r="323" spans="2:2" ht="12" customHeight="1">
      <c r="B323" s="524"/>
    </row>
    <row r="324" spans="2:2" ht="12" customHeight="1">
      <c r="B324" s="524"/>
    </row>
    <row r="325" spans="2:2" ht="12" customHeight="1">
      <c r="B325" s="524"/>
    </row>
    <row r="326" spans="2:2" ht="12" customHeight="1">
      <c r="B326" s="524"/>
    </row>
    <row r="327" spans="2:2" ht="12" customHeight="1">
      <c r="B327" s="524"/>
    </row>
    <row r="328" spans="2:2" ht="12" customHeight="1">
      <c r="B328" s="524"/>
    </row>
    <row r="329" spans="2:2" ht="12" customHeight="1">
      <c r="B329" s="524"/>
    </row>
    <row r="330" spans="2:2" ht="12" customHeight="1">
      <c r="B330" s="524"/>
    </row>
    <row r="331" spans="2:2" ht="12" customHeight="1">
      <c r="B331" s="524"/>
    </row>
    <row r="332" spans="2:2" ht="12" customHeight="1">
      <c r="B332" s="524"/>
    </row>
    <row r="333" spans="2:2" ht="12" customHeight="1">
      <c r="B333" s="524"/>
    </row>
    <row r="334" spans="2:2" ht="12" customHeight="1">
      <c r="B334" s="524"/>
    </row>
    <row r="335" spans="2:2" ht="12" customHeight="1">
      <c r="B335" s="524"/>
    </row>
    <row r="336" spans="2:2" ht="12" customHeight="1">
      <c r="B336" s="524"/>
    </row>
    <row r="337" spans="2:2" ht="12" customHeight="1">
      <c r="B337" s="524"/>
    </row>
    <row r="338" spans="2:2" ht="12" customHeight="1">
      <c r="B338" s="524"/>
    </row>
    <row r="339" spans="2:2" ht="12" customHeight="1">
      <c r="B339" s="524"/>
    </row>
    <row r="340" spans="2:2" ht="12" customHeight="1">
      <c r="B340" s="524"/>
    </row>
    <row r="341" spans="2:2" ht="12" customHeight="1">
      <c r="B341" s="524"/>
    </row>
    <row r="342" spans="2:2" ht="12" customHeight="1">
      <c r="B342" s="524"/>
    </row>
    <row r="343" spans="2:2" ht="12" customHeight="1">
      <c r="B343" s="524"/>
    </row>
    <row r="344" spans="2:2" ht="12" customHeight="1">
      <c r="B344" s="524"/>
    </row>
    <row r="345" spans="2:2" ht="12" customHeight="1">
      <c r="B345" s="524"/>
    </row>
    <row r="346" spans="2:2" ht="12" customHeight="1">
      <c r="B346" s="524"/>
    </row>
    <row r="347" spans="2:2" ht="12" customHeight="1">
      <c r="B347" s="524"/>
    </row>
    <row r="348" spans="2:2" ht="12" customHeight="1">
      <c r="B348" s="524"/>
    </row>
    <row r="349" spans="2:2" ht="12" customHeight="1">
      <c r="B349" s="524"/>
    </row>
    <row r="350" spans="2:2" ht="12" customHeight="1">
      <c r="B350" s="524"/>
    </row>
    <row r="351" spans="2:2" ht="12" customHeight="1">
      <c r="B351" s="524"/>
    </row>
    <row r="352" spans="2:2" ht="12" customHeight="1">
      <c r="B352" s="524"/>
    </row>
    <row r="353" spans="2:2" ht="12" customHeight="1">
      <c r="B353" s="524"/>
    </row>
    <row r="354" spans="2:2" ht="12" customHeight="1">
      <c r="B354" s="524"/>
    </row>
    <row r="355" spans="2:2" ht="12" customHeight="1">
      <c r="B355" s="524"/>
    </row>
    <row r="356" spans="2:2" ht="12" customHeight="1">
      <c r="B356" s="524"/>
    </row>
    <row r="357" spans="2:2" ht="12" customHeight="1">
      <c r="B357" s="524"/>
    </row>
    <row r="358" spans="2:2" ht="12" customHeight="1">
      <c r="B358" s="524"/>
    </row>
    <row r="359" spans="2:2" ht="12" customHeight="1">
      <c r="B359" s="524"/>
    </row>
    <row r="360" spans="2:2" ht="12" customHeight="1">
      <c r="B360" s="524"/>
    </row>
    <row r="361" spans="2:2" ht="12" customHeight="1">
      <c r="B361" s="524"/>
    </row>
    <row r="362" spans="2:2" ht="12" customHeight="1">
      <c r="B362" s="524"/>
    </row>
    <row r="363" spans="2:2" ht="12" customHeight="1">
      <c r="B363" s="524"/>
    </row>
    <row r="364" spans="2:2" ht="12" customHeight="1">
      <c r="B364" s="524"/>
    </row>
    <row r="365" spans="2:2" ht="12" customHeight="1">
      <c r="B365" s="524"/>
    </row>
    <row r="366" spans="2:2" ht="12" customHeight="1">
      <c r="B366" s="524"/>
    </row>
    <row r="367" spans="2:2" ht="12" customHeight="1">
      <c r="B367" s="524"/>
    </row>
    <row r="368" spans="2:2" ht="12" customHeight="1">
      <c r="B368" s="524"/>
    </row>
    <row r="369" spans="2:2" ht="12" customHeight="1">
      <c r="B369" s="524"/>
    </row>
    <row r="370" spans="2:2" ht="12" customHeight="1">
      <c r="B370" s="524"/>
    </row>
    <row r="371" spans="2:2" ht="12" customHeight="1">
      <c r="B371" s="524"/>
    </row>
    <row r="372" spans="2:2" ht="12" customHeight="1">
      <c r="B372" s="524"/>
    </row>
    <row r="373" spans="2:2" ht="12" customHeight="1">
      <c r="B373" s="524"/>
    </row>
    <row r="374" spans="2:2" ht="12" customHeight="1">
      <c r="B374" s="524"/>
    </row>
    <row r="375" spans="2:2" ht="12" customHeight="1">
      <c r="B375" s="524"/>
    </row>
    <row r="376" spans="2:2" ht="12" customHeight="1">
      <c r="B376" s="524"/>
    </row>
    <row r="377" spans="2:2" ht="12" customHeight="1">
      <c r="B377" s="524"/>
    </row>
    <row r="378" spans="2:2" ht="12" customHeight="1">
      <c r="B378" s="524"/>
    </row>
    <row r="379" spans="2:2" ht="12" customHeight="1">
      <c r="B379" s="524"/>
    </row>
    <row r="380" spans="2:2" ht="12" customHeight="1">
      <c r="B380" s="524"/>
    </row>
    <row r="381" spans="2:2" ht="12" customHeight="1">
      <c r="B381" s="524"/>
    </row>
    <row r="382" spans="2:2" ht="12" customHeight="1">
      <c r="B382" s="524"/>
    </row>
    <row r="383" spans="2:2" ht="12" customHeight="1">
      <c r="B383" s="524"/>
    </row>
    <row r="384" spans="2:2" ht="12" customHeight="1">
      <c r="B384" s="524"/>
    </row>
    <row r="385" spans="2:2" ht="12" customHeight="1">
      <c r="B385" s="524"/>
    </row>
    <row r="386" spans="2:2" ht="12" customHeight="1">
      <c r="B386" s="524"/>
    </row>
    <row r="387" spans="2:2" ht="12" customHeight="1">
      <c r="B387" s="524"/>
    </row>
    <row r="388" spans="2:2" ht="12" customHeight="1">
      <c r="B388" s="524"/>
    </row>
    <row r="389" spans="2:2" ht="12" customHeight="1">
      <c r="B389" s="524"/>
    </row>
    <row r="390" spans="2:2" ht="12" customHeight="1">
      <c r="B390" s="524"/>
    </row>
    <row r="391" spans="2:2" ht="12" customHeight="1">
      <c r="B391" s="524"/>
    </row>
    <row r="392" spans="2:2" ht="12" customHeight="1">
      <c r="B392" s="524"/>
    </row>
    <row r="393" spans="2:2" ht="12" customHeight="1">
      <c r="B393" s="524"/>
    </row>
    <row r="394" spans="2:2" ht="12" customHeight="1">
      <c r="B394" s="524"/>
    </row>
    <row r="395" spans="2:2" ht="12" customHeight="1">
      <c r="B395" s="524"/>
    </row>
    <row r="396" spans="2:2" ht="12" customHeight="1">
      <c r="B396" s="524"/>
    </row>
    <row r="397" spans="2:2" ht="12" customHeight="1">
      <c r="B397" s="524"/>
    </row>
    <row r="398" spans="2:2" ht="12" customHeight="1">
      <c r="B398" s="524"/>
    </row>
    <row r="399" spans="2:2" ht="12" customHeight="1">
      <c r="B399" s="524"/>
    </row>
    <row r="400" spans="2:2" ht="12" customHeight="1">
      <c r="B400" s="524"/>
    </row>
    <row r="401" spans="2:2" ht="12" customHeight="1">
      <c r="B401" s="524"/>
    </row>
    <row r="402" spans="2:2" ht="12" customHeight="1">
      <c r="B402" s="524"/>
    </row>
    <row r="403" spans="2:2" ht="12" customHeight="1">
      <c r="B403" s="524"/>
    </row>
    <row r="404" spans="2:2" ht="12" customHeight="1">
      <c r="B404" s="524"/>
    </row>
    <row r="405" spans="2:2" ht="12" customHeight="1">
      <c r="B405" s="524"/>
    </row>
    <row r="406" spans="2:2" ht="12" customHeight="1">
      <c r="B406" s="524"/>
    </row>
    <row r="407" spans="2:2" ht="12" customHeight="1">
      <c r="B407" s="524"/>
    </row>
    <row r="408" spans="2:2" ht="12" customHeight="1">
      <c r="B408" s="524"/>
    </row>
    <row r="409" spans="2:2" ht="12" customHeight="1">
      <c r="B409" s="524"/>
    </row>
    <row r="410" spans="2:2" ht="12" customHeight="1">
      <c r="B410" s="524"/>
    </row>
    <row r="411" spans="2:2" ht="12" customHeight="1">
      <c r="B411" s="524"/>
    </row>
    <row r="412" spans="2:2" ht="12" customHeight="1">
      <c r="B412" s="524"/>
    </row>
    <row r="413" spans="2:2" ht="12" customHeight="1">
      <c r="B413" s="524"/>
    </row>
    <row r="414" spans="2:2" ht="12" customHeight="1">
      <c r="B414" s="524"/>
    </row>
    <row r="415" spans="2:2" ht="12" customHeight="1">
      <c r="B415" s="524"/>
    </row>
    <row r="416" spans="2:2" ht="12" customHeight="1">
      <c r="B416" s="524"/>
    </row>
    <row r="417" spans="2:2" ht="12" customHeight="1">
      <c r="B417" s="524"/>
    </row>
    <row r="418" spans="2:2" ht="12" customHeight="1">
      <c r="B418" s="524"/>
    </row>
    <row r="419" spans="2:2" ht="12" customHeight="1">
      <c r="B419" s="524"/>
    </row>
    <row r="420" spans="2:2" ht="12" customHeight="1">
      <c r="B420" s="524"/>
    </row>
    <row r="421" spans="2:2" ht="12" customHeight="1">
      <c r="B421" s="524"/>
    </row>
    <row r="422" spans="2:2" ht="12" customHeight="1">
      <c r="B422" s="524"/>
    </row>
    <row r="423" spans="2:2" ht="12" customHeight="1">
      <c r="B423" s="524"/>
    </row>
    <row r="424" spans="2:2" ht="12" customHeight="1">
      <c r="B424" s="524"/>
    </row>
    <row r="425" spans="2:2" ht="12" customHeight="1">
      <c r="B425" s="524"/>
    </row>
    <row r="426" spans="2:2" ht="12" customHeight="1">
      <c r="B426" s="524"/>
    </row>
    <row r="427" spans="2:2" ht="12" customHeight="1">
      <c r="B427" s="524"/>
    </row>
    <row r="428" spans="2:2" ht="12" customHeight="1">
      <c r="B428" s="524"/>
    </row>
    <row r="429" spans="2:2" ht="12" customHeight="1">
      <c r="B429" s="524"/>
    </row>
    <row r="430" spans="2:2" ht="12" customHeight="1">
      <c r="B430" s="524"/>
    </row>
    <row r="431" spans="2:2" ht="12" customHeight="1">
      <c r="B431" s="524"/>
    </row>
    <row r="432" spans="2:2" ht="12" customHeight="1">
      <c r="B432" s="524"/>
    </row>
    <row r="433" spans="2:2" ht="12" customHeight="1">
      <c r="B433" s="524"/>
    </row>
    <row r="434" spans="2:2" ht="12" customHeight="1">
      <c r="B434" s="524"/>
    </row>
    <row r="435" spans="2:2" ht="12" customHeight="1">
      <c r="B435" s="524"/>
    </row>
    <row r="436" spans="2:2" ht="12" customHeight="1">
      <c r="B436" s="524"/>
    </row>
    <row r="437" spans="2:2" ht="12" customHeight="1">
      <c r="B437" s="524"/>
    </row>
    <row r="438" spans="2:2" ht="12" customHeight="1">
      <c r="B438" s="524"/>
    </row>
    <row r="439" spans="2:2" ht="12" customHeight="1">
      <c r="B439" s="524"/>
    </row>
    <row r="440" spans="2:2" ht="12" customHeight="1">
      <c r="B440" s="524"/>
    </row>
    <row r="441" spans="2:2" ht="12" customHeight="1">
      <c r="B441" s="524"/>
    </row>
    <row r="442" spans="2:2" ht="12" customHeight="1">
      <c r="B442" s="524"/>
    </row>
    <row r="443" spans="2:2" ht="12" customHeight="1">
      <c r="B443" s="524"/>
    </row>
    <row r="444" spans="2:2" ht="12" customHeight="1">
      <c r="B444" s="524"/>
    </row>
    <row r="445" spans="2:2" ht="12" customHeight="1">
      <c r="B445" s="524"/>
    </row>
    <row r="446" spans="2:2" ht="12" customHeight="1">
      <c r="B446" s="524"/>
    </row>
    <row r="447" spans="2:2" ht="12" customHeight="1">
      <c r="B447" s="524"/>
    </row>
    <row r="448" spans="2:2" ht="12" customHeight="1">
      <c r="B448" s="524"/>
    </row>
    <row r="449" spans="2:2" ht="12" customHeight="1">
      <c r="B449" s="524"/>
    </row>
    <row r="450" spans="2:2" ht="12" customHeight="1">
      <c r="B450" s="524"/>
    </row>
    <row r="451" spans="2:2" ht="12" customHeight="1">
      <c r="B451" s="524"/>
    </row>
    <row r="452" spans="2:2" ht="12" customHeight="1">
      <c r="B452" s="524"/>
    </row>
    <row r="453" spans="2:2" ht="12" customHeight="1">
      <c r="B453" s="524"/>
    </row>
    <row r="454" spans="2:2" ht="12" customHeight="1">
      <c r="B454" s="524"/>
    </row>
    <row r="455" spans="2:2" ht="12" customHeight="1">
      <c r="B455" s="524"/>
    </row>
    <row r="456" spans="2:2" ht="12" customHeight="1">
      <c r="B456" s="524"/>
    </row>
    <row r="457" spans="2:2" ht="12" customHeight="1">
      <c r="B457" s="524"/>
    </row>
    <row r="458" spans="2:2" ht="12" customHeight="1">
      <c r="B458" s="524"/>
    </row>
    <row r="459" spans="2:2" ht="12" customHeight="1">
      <c r="B459" s="524"/>
    </row>
    <row r="460" spans="2:2" ht="12" customHeight="1">
      <c r="B460" s="524"/>
    </row>
    <row r="461" spans="2:2" ht="12" customHeight="1">
      <c r="B461" s="524"/>
    </row>
    <row r="462" spans="2:2" ht="12" customHeight="1">
      <c r="B462" s="524"/>
    </row>
    <row r="463" spans="2:2" ht="12" customHeight="1">
      <c r="B463" s="524"/>
    </row>
    <row r="464" spans="2:2" ht="12" customHeight="1">
      <c r="B464" s="524"/>
    </row>
    <row r="465" spans="2:2" ht="12" customHeight="1">
      <c r="B465" s="524"/>
    </row>
    <row r="466" spans="2:2" ht="12" customHeight="1">
      <c r="B466" s="524"/>
    </row>
    <row r="467" spans="2:2" ht="12" customHeight="1">
      <c r="B467" s="524"/>
    </row>
    <row r="468" spans="2:2" ht="12" customHeight="1">
      <c r="B468" s="524"/>
    </row>
    <row r="469" spans="2:2" ht="12" customHeight="1">
      <c r="B469" s="524"/>
    </row>
    <row r="470" spans="2:2" ht="12" customHeight="1">
      <c r="B470" s="524"/>
    </row>
    <row r="471" spans="2:2" ht="12" customHeight="1">
      <c r="B471" s="524"/>
    </row>
    <row r="472" spans="2:2" ht="12" customHeight="1">
      <c r="B472" s="524"/>
    </row>
    <row r="473" spans="2:2" ht="12" customHeight="1">
      <c r="B473" s="524"/>
    </row>
    <row r="474" spans="2:2" ht="12" customHeight="1">
      <c r="B474" s="524"/>
    </row>
    <row r="475" spans="2:2" ht="12" customHeight="1">
      <c r="B475" s="524"/>
    </row>
    <row r="476" spans="2:2" ht="12" customHeight="1">
      <c r="B476" s="524"/>
    </row>
    <row r="477" spans="2:2" ht="12" customHeight="1">
      <c r="B477" s="524"/>
    </row>
    <row r="478" spans="2:2" ht="12" customHeight="1">
      <c r="B478" s="524"/>
    </row>
    <row r="479" spans="2:2" ht="12" customHeight="1">
      <c r="B479" s="524"/>
    </row>
    <row r="480" spans="2:2" ht="12" customHeight="1">
      <c r="B480" s="524"/>
    </row>
    <row r="481" spans="2:2" ht="12" customHeight="1">
      <c r="B481" s="524"/>
    </row>
    <row r="482" spans="2:2" ht="12" customHeight="1">
      <c r="B482" s="524"/>
    </row>
    <row r="483" spans="2:2" ht="12" customHeight="1">
      <c r="B483" s="524"/>
    </row>
    <row r="484" spans="2:2" ht="12" customHeight="1">
      <c r="B484" s="524"/>
    </row>
    <row r="485" spans="2:2" ht="12" customHeight="1">
      <c r="B485" s="524"/>
    </row>
    <row r="486" spans="2:2" ht="12" customHeight="1">
      <c r="B486" s="524"/>
    </row>
    <row r="487" spans="2:2" ht="12" customHeight="1">
      <c r="B487" s="524"/>
    </row>
    <row r="488" spans="2:2" ht="12" customHeight="1">
      <c r="B488" s="524"/>
    </row>
    <row r="489" spans="2:2" ht="12" customHeight="1">
      <c r="B489" s="524"/>
    </row>
    <row r="490" spans="2:2" ht="12" customHeight="1">
      <c r="B490" s="524"/>
    </row>
    <row r="491" spans="2:2" ht="12" customHeight="1">
      <c r="B491" s="524"/>
    </row>
    <row r="492" spans="2:2" ht="12" customHeight="1">
      <c r="B492" s="524"/>
    </row>
    <row r="493" spans="2:2" ht="12" customHeight="1">
      <c r="B493" s="524"/>
    </row>
    <row r="494" spans="2:2" ht="12" customHeight="1">
      <c r="B494" s="524"/>
    </row>
    <row r="495" spans="2:2" ht="12" customHeight="1">
      <c r="B495" s="524"/>
    </row>
    <row r="496" spans="2:2" ht="12" customHeight="1">
      <c r="B496" s="524"/>
    </row>
    <row r="497" spans="2:2" ht="12" customHeight="1">
      <c r="B497" s="524"/>
    </row>
    <row r="498" spans="2:2" ht="12" customHeight="1">
      <c r="B498" s="524"/>
    </row>
    <row r="499" spans="2:2" ht="12" customHeight="1">
      <c r="B499" s="524"/>
    </row>
    <row r="500" spans="2:2" ht="12" customHeight="1">
      <c r="B500" s="524"/>
    </row>
    <row r="501" spans="2:2" ht="12" customHeight="1">
      <c r="B501" s="524"/>
    </row>
    <row r="502" spans="2:2" ht="12" customHeight="1">
      <c r="B502" s="524"/>
    </row>
    <row r="503" spans="2:2" ht="12" customHeight="1">
      <c r="B503" s="524"/>
    </row>
    <row r="504" spans="2:2" ht="12" customHeight="1">
      <c r="B504" s="524"/>
    </row>
    <row r="505" spans="2:2" ht="12" customHeight="1">
      <c r="B505" s="524"/>
    </row>
    <row r="506" spans="2:2" ht="12" customHeight="1">
      <c r="B506" s="524"/>
    </row>
    <row r="507" spans="2:2" ht="12" customHeight="1">
      <c r="B507" s="524"/>
    </row>
    <row r="508" spans="2:2" ht="12" customHeight="1">
      <c r="B508" s="524"/>
    </row>
    <row r="509" spans="2:2" ht="12" customHeight="1">
      <c r="B509" s="524"/>
    </row>
    <row r="510" spans="2:2" ht="12" customHeight="1">
      <c r="B510" s="524"/>
    </row>
    <row r="511" spans="2:2" ht="12" customHeight="1">
      <c r="B511" s="524"/>
    </row>
    <row r="512" spans="2:2" ht="12" customHeight="1">
      <c r="B512" s="524"/>
    </row>
    <row r="513" spans="2:2" ht="12" customHeight="1">
      <c r="B513" s="524"/>
    </row>
    <row r="514" spans="2:2" ht="12" customHeight="1">
      <c r="B514" s="524"/>
    </row>
    <row r="515" spans="2:2" ht="12" customHeight="1">
      <c r="B515" s="524"/>
    </row>
    <row r="516" spans="2:2" ht="12" customHeight="1">
      <c r="B516" s="524"/>
    </row>
    <row r="517" spans="2:2" ht="12" customHeight="1">
      <c r="B517" s="524"/>
    </row>
    <row r="518" spans="2:2" ht="12" customHeight="1">
      <c r="B518" s="524"/>
    </row>
    <row r="519" spans="2:2" ht="12" customHeight="1">
      <c r="B519" s="524"/>
    </row>
    <row r="520" spans="2:2" ht="12" customHeight="1">
      <c r="B520" s="524"/>
    </row>
    <row r="521" spans="2:2" ht="12" customHeight="1">
      <c r="B521" s="524"/>
    </row>
    <row r="522" spans="2:2" ht="12" customHeight="1">
      <c r="B522" s="524"/>
    </row>
    <row r="523" spans="2:2" ht="12" customHeight="1">
      <c r="B523" s="524"/>
    </row>
    <row r="524" spans="2:2" ht="12" customHeight="1">
      <c r="B524" s="524"/>
    </row>
    <row r="525" spans="2:2" ht="12" customHeight="1">
      <c r="B525" s="524"/>
    </row>
    <row r="526" spans="2:2" ht="12" customHeight="1">
      <c r="B526" s="524"/>
    </row>
    <row r="527" spans="2:2" ht="12" customHeight="1">
      <c r="B527" s="524"/>
    </row>
    <row r="528" spans="2:2" ht="12" customHeight="1">
      <c r="B528" s="524"/>
    </row>
    <row r="529" spans="2:2" ht="12" customHeight="1">
      <c r="B529" s="524"/>
    </row>
    <row r="530" spans="2:2" ht="12" customHeight="1">
      <c r="B530" s="524"/>
    </row>
    <row r="531" spans="2:2" ht="12" customHeight="1">
      <c r="B531" s="524"/>
    </row>
    <row r="532" spans="2:2" ht="12" customHeight="1">
      <c r="B532" s="524"/>
    </row>
    <row r="533" spans="2:2" ht="12" customHeight="1">
      <c r="B533" s="524"/>
    </row>
    <row r="534" spans="2:2" ht="12" customHeight="1">
      <c r="B534" s="524"/>
    </row>
    <row r="535" spans="2:2" ht="12" customHeight="1">
      <c r="B535" s="524"/>
    </row>
    <row r="536" spans="2:2" ht="12" customHeight="1">
      <c r="B536" s="524"/>
    </row>
    <row r="537" spans="2:2" ht="12" customHeight="1">
      <c r="B537" s="524"/>
    </row>
    <row r="538" spans="2:2" ht="12" customHeight="1">
      <c r="B538" s="524"/>
    </row>
    <row r="539" spans="2:2" ht="12" customHeight="1">
      <c r="B539" s="524"/>
    </row>
    <row r="540" spans="2:2" ht="12" customHeight="1">
      <c r="B540" s="524"/>
    </row>
    <row r="541" spans="2:2" ht="12" customHeight="1">
      <c r="B541" s="524"/>
    </row>
    <row r="542" spans="2:2" ht="12" customHeight="1">
      <c r="B542" s="524"/>
    </row>
    <row r="543" spans="2:2" ht="12" customHeight="1">
      <c r="B543" s="524"/>
    </row>
    <row r="544" spans="2:2" ht="12" customHeight="1">
      <c r="B544" s="524"/>
    </row>
    <row r="545" spans="2:2" ht="12" customHeight="1">
      <c r="B545" s="524"/>
    </row>
    <row r="546" spans="2:2" ht="12" customHeight="1">
      <c r="B546" s="524"/>
    </row>
    <row r="547" spans="2:2" ht="12" customHeight="1">
      <c r="B547" s="524"/>
    </row>
    <row r="548" spans="2:2" ht="12" customHeight="1">
      <c r="B548" s="524"/>
    </row>
    <row r="549" spans="2:2" ht="12" customHeight="1">
      <c r="B549" s="524"/>
    </row>
    <row r="550" spans="2:2" ht="12" customHeight="1">
      <c r="B550" s="524"/>
    </row>
    <row r="551" spans="2:2" ht="12" customHeight="1">
      <c r="B551" s="524"/>
    </row>
    <row r="552" spans="2:2" ht="12" customHeight="1">
      <c r="B552" s="524"/>
    </row>
    <row r="553" spans="2:2" ht="12" customHeight="1">
      <c r="B553" s="524"/>
    </row>
    <row r="554" spans="2:2" ht="12" customHeight="1">
      <c r="B554" s="524"/>
    </row>
    <row r="555" spans="2:2" ht="12" customHeight="1">
      <c r="B555" s="524"/>
    </row>
    <row r="556" spans="2:2" ht="12" customHeight="1">
      <c r="B556" s="524"/>
    </row>
    <row r="557" spans="2:2" ht="12" customHeight="1">
      <c r="B557" s="524"/>
    </row>
    <row r="558" spans="2:2" ht="12" customHeight="1">
      <c r="B558" s="524"/>
    </row>
    <row r="559" spans="2:2" ht="12" customHeight="1">
      <c r="B559" s="524"/>
    </row>
    <row r="560" spans="2:2" ht="12" customHeight="1">
      <c r="B560" s="524"/>
    </row>
    <row r="561" spans="2:2" ht="12" customHeight="1">
      <c r="B561" s="524"/>
    </row>
    <row r="562" spans="2:2" ht="12" customHeight="1">
      <c r="B562" s="524"/>
    </row>
    <row r="563" spans="2:2" ht="12" customHeight="1">
      <c r="B563" s="524"/>
    </row>
    <row r="564" spans="2:2" ht="12" customHeight="1">
      <c r="B564" s="524"/>
    </row>
    <row r="565" spans="2:2" ht="12" customHeight="1">
      <c r="B565" s="524"/>
    </row>
    <row r="566" spans="2:2" ht="12" customHeight="1">
      <c r="B566" s="524"/>
    </row>
    <row r="567" spans="2:2" ht="12" customHeight="1">
      <c r="B567" s="524"/>
    </row>
    <row r="568" spans="2:2" ht="12" customHeight="1">
      <c r="B568" s="524"/>
    </row>
    <row r="569" spans="2:2" ht="12" customHeight="1">
      <c r="B569" s="524"/>
    </row>
    <row r="570" spans="2:2" ht="12" customHeight="1">
      <c r="B570" s="524"/>
    </row>
    <row r="571" spans="2:2" ht="12" customHeight="1">
      <c r="B571" s="524"/>
    </row>
    <row r="572" spans="2:2" ht="12" customHeight="1">
      <c r="B572" s="524"/>
    </row>
    <row r="573" spans="2:2" ht="12" customHeight="1">
      <c r="B573" s="524"/>
    </row>
    <row r="574" spans="2:2" ht="12" customHeight="1">
      <c r="B574" s="524"/>
    </row>
    <row r="575" spans="2:2" ht="12" customHeight="1">
      <c r="B575" s="524"/>
    </row>
    <row r="576" spans="2:2" ht="12" customHeight="1">
      <c r="B576" s="524"/>
    </row>
    <row r="577" spans="2:2" ht="12" customHeight="1">
      <c r="B577" s="524"/>
    </row>
    <row r="578" spans="2:2" ht="12" customHeight="1">
      <c r="B578" s="524"/>
    </row>
    <row r="579" spans="2:2" ht="12" customHeight="1">
      <c r="B579" s="524"/>
    </row>
    <row r="580" spans="2:2" ht="12" customHeight="1">
      <c r="B580" s="524"/>
    </row>
    <row r="581" spans="2:2" ht="12" customHeight="1">
      <c r="B581" s="524"/>
    </row>
    <row r="582" spans="2:2" ht="12" customHeight="1">
      <c r="B582" s="524"/>
    </row>
    <row r="583" spans="2:2" ht="12" customHeight="1">
      <c r="B583" s="524"/>
    </row>
    <row r="584" spans="2:2" ht="12" customHeight="1">
      <c r="B584" s="524"/>
    </row>
    <row r="585" spans="2:2" ht="12" customHeight="1">
      <c r="B585" s="524"/>
    </row>
    <row r="586" spans="2:2" ht="12" customHeight="1">
      <c r="B586" s="524"/>
    </row>
    <row r="587" spans="2:2" ht="12" customHeight="1">
      <c r="B587" s="524"/>
    </row>
    <row r="588" spans="2:2" ht="12" customHeight="1">
      <c r="B588" s="524"/>
    </row>
    <row r="589" spans="2:2" ht="12" customHeight="1">
      <c r="B589" s="524"/>
    </row>
    <row r="590" spans="2:2" ht="12" customHeight="1">
      <c r="B590" s="524"/>
    </row>
    <row r="591" spans="2:2" ht="12" customHeight="1">
      <c r="B591" s="524"/>
    </row>
    <row r="592" spans="2:2" ht="12" customHeight="1">
      <c r="B592" s="524"/>
    </row>
    <row r="593" spans="2:2" ht="12" customHeight="1">
      <c r="B593" s="524"/>
    </row>
    <row r="594" spans="2:2" ht="12" customHeight="1">
      <c r="B594" s="524"/>
    </row>
    <row r="595" spans="2:2" ht="12" customHeight="1">
      <c r="B595" s="524"/>
    </row>
    <row r="596" spans="2:2" ht="12" customHeight="1">
      <c r="B596" s="524"/>
    </row>
    <row r="597" spans="2:2" ht="12" customHeight="1">
      <c r="B597" s="524"/>
    </row>
    <row r="598" spans="2:2" ht="12" customHeight="1">
      <c r="B598" s="524"/>
    </row>
    <row r="599" spans="2:2" ht="12" customHeight="1">
      <c r="B599" s="524"/>
    </row>
    <row r="600" spans="2:2" ht="12" customHeight="1">
      <c r="B600" s="524"/>
    </row>
    <row r="601" spans="2:2" ht="12" customHeight="1">
      <c r="B601" s="524"/>
    </row>
    <row r="602" spans="2:2" ht="12" customHeight="1">
      <c r="B602" s="524"/>
    </row>
    <row r="603" spans="2:2" ht="12" customHeight="1">
      <c r="B603" s="524"/>
    </row>
    <row r="604" spans="2:2" ht="12" customHeight="1">
      <c r="B604" s="524"/>
    </row>
    <row r="605" spans="2:2" ht="12" customHeight="1">
      <c r="B605" s="524"/>
    </row>
    <row r="606" spans="2:2" ht="12" customHeight="1">
      <c r="B606" s="524"/>
    </row>
    <row r="607" spans="2:2" ht="12" customHeight="1">
      <c r="B607" s="524"/>
    </row>
    <row r="608" spans="2:2" ht="12" customHeight="1">
      <c r="B608" s="524"/>
    </row>
    <row r="609" spans="2:2" ht="12" customHeight="1">
      <c r="B609" s="524"/>
    </row>
    <row r="610" spans="2:2" ht="12" customHeight="1">
      <c r="B610" s="524"/>
    </row>
    <row r="611" spans="2:2" ht="12" customHeight="1">
      <c r="B611" s="524"/>
    </row>
    <row r="612" spans="2:2" ht="12" customHeight="1">
      <c r="B612" s="524"/>
    </row>
    <row r="613" spans="2:2" ht="12" customHeight="1">
      <c r="B613" s="524"/>
    </row>
    <row r="614" spans="2:2" ht="12" customHeight="1">
      <c r="B614" s="524"/>
    </row>
    <row r="615" spans="2:2" ht="12" customHeight="1">
      <c r="B615" s="524"/>
    </row>
    <row r="616" spans="2:2" ht="12" customHeight="1">
      <c r="B616" s="524"/>
    </row>
    <row r="617" spans="2:2" ht="12" customHeight="1">
      <c r="B617" s="524"/>
    </row>
    <row r="618" spans="2:2" ht="12" customHeight="1">
      <c r="B618" s="524"/>
    </row>
    <row r="619" spans="2:2" ht="12" customHeight="1">
      <c r="B619" s="524"/>
    </row>
    <row r="620" spans="2:2" ht="12" customHeight="1">
      <c r="B620" s="524"/>
    </row>
    <row r="621" spans="2:2" ht="12" customHeight="1">
      <c r="B621" s="524"/>
    </row>
    <row r="622" spans="2:2" ht="12" customHeight="1">
      <c r="B622" s="524"/>
    </row>
    <row r="623" spans="2:2" ht="12" customHeight="1">
      <c r="B623" s="524"/>
    </row>
    <row r="624" spans="2:2" ht="12" customHeight="1">
      <c r="B624" s="524"/>
    </row>
    <row r="625" spans="2:2" ht="12" customHeight="1">
      <c r="B625" s="524"/>
    </row>
    <row r="626" spans="2:2" ht="12" customHeight="1">
      <c r="B626" s="524"/>
    </row>
    <row r="627" spans="2:2" ht="12" customHeight="1">
      <c r="B627" s="524"/>
    </row>
    <row r="628" spans="2:2" ht="12" customHeight="1">
      <c r="B628" s="524"/>
    </row>
    <row r="629" spans="2:2" ht="12" customHeight="1">
      <c r="B629" s="524"/>
    </row>
    <row r="630" spans="2:2" ht="12" customHeight="1">
      <c r="B630" s="524"/>
    </row>
    <row r="631" spans="2:2" ht="12" customHeight="1">
      <c r="B631" s="524"/>
    </row>
    <row r="632" spans="2:2" ht="12" customHeight="1">
      <c r="B632" s="524"/>
    </row>
    <row r="633" spans="2:2" ht="12" customHeight="1">
      <c r="B633" s="524"/>
    </row>
    <row r="634" spans="2:2" ht="12" customHeight="1">
      <c r="B634" s="524"/>
    </row>
    <row r="635" spans="2:2" ht="12" customHeight="1">
      <c r="B635" s="524"/>
    </row>
    <row r="636" spans="2:2" ht="12" customHeight="1">
      <c r="B636" s="524"/>
    </row>
    <row r="637" spans="2:2" ht="12" customHeight="1">
      <c r="B637" s="524"/>
    </row>
    <row r="638" spans="2:2" ht="12" customHeight="1">
      <c r="B638" s="524"/>
    </row>
    <row r="639" spans="2:2" ht="12" customHeight="1">
      <c r="B639" s="524"/>
    </row>
    <row r="640" spans="2:2" ht="12" customHeight="1">
      <c r="B640" s="524"/>
    </row>
    <row r="641" spans="2:2" ht="12" customHeight="1">
      <c r="B641" s="524"/>
    </row>
    <row r="642" spans="2:2" ht="12" customHeight="1">
      <c r="B642" s="524"/>
    </row>
    <row r="643" spans="2:2" ht="12" customHeight="1">
      <c r="B643" s="524"/>
    </row>
    <row r="644" spans="2:2" ht="12" customHeight="1">
      <c r="B644" s="524"/>
    </row>
    <row r="645" spans="2:2" ht="12" customHeight="1">
      <c r="B645" s="524"/>
    </row>
    <row r="646" spans="2:2" ht="12" customHeight="1">
      <c r="B646" s="524"/>
    </row>
    <row r="647" spans="2:2" ht="12" customHeight="1">
      <c r="B647" s="524"/>
    </row>
    <row r="648" spans="2:2" ht="12" customHeight="1">
      <c r="B648" s="524"/>
    </row>
    <row r="649" spans="2:2" ht="12" customHeight="1">
      <c r="B649" s="524"/>
    </row>
    <row r="650" spans="2:2" ht="12" customHeight="1">
      <c r="B650" s="524"/>
    </row>
    <row r="651" spans="2:2" ht="12" customHeight="1">
      <c r="B651" s="524"/>
    </row>
    <row r="652" spans="2:2" ht="12" customHeight="1">
      <c r="B652" s="524"/>
    </row>
    <row r="653" spans="2:2" ht="12" customHeight="1">
      <c r="B653" s="524"/>
    </row>
    <row r="654" spans="2:2" ht="12" customHeight="1">
      <c r="B654" s="524"/>
    </row>
    <row r="655" spans="2:2" ht="12" customHeight="1">
      <c r="B655" s="524"/>
    </row>
    <row r="656" spans="2:2" ht="12" customHeight="1">
      <c r="B656" s="524"/>
    </row>
    <row r="657" spans="2:2" ht="12" customHeight="1">
      <c r="B657" s="524"/>
    </row>
    <row r="658" spans="2:2" ht="12" customHeight="1">
      <c r="B658" s="524"/>
    </row>
    <row r="659" spans="2:2" ht="12" customHeight="1">
      <c r="B659" s="524"/>
    </row>
    <row r="660" spans="2:2" ht="12" customHeight="1">
      <c r="B660" s="524"/>
    </row>
    <row r="661" spans="2:2" ht="12" customHeight="1">
      <c r="B661" s="524"/>
    </row>
    <row r="662" spans="2:2" ht="12" customHeight="1">
      <c r="B662" s="524"/>
    </row>
    <row r="663" spans="2:2" ht="12" customHeight="1">
      <c r="B663" s="524"/>
    </row>
    <row r="664" spans="2:2" ht="12" customHeight="1">
      <c r="B664" s="524"/>
    </row>
    <row r="665" spans="2:2" ht="12" customHeight="1">
      <c r="B665" s="524"/>
    </row>
    <row r="666" spans="2:2" ht="12" customHeight="1">
      <c r="B666" s="524"/>
    </row>
    <row r="667" spans="2:2" ht="12" customHeight="1">
      <c r="B667" s="524"/>
    </row>
    <row r="668" spans="2:2" ht="12" customHeight="1">
      <c r="B668" s="524"/>
    </row>
    <row r="669" spans="2:2" ht="12" customHeight="1">
      <c r="B669" s="524"/>
    </row>
    <row r="670" spans="2:2" ht="12" customHeight="1">
      <c r="B670" s="524"/>
    </row>
    <row r="671" spans="2:2" ht="12" customHeight="1">
      <c r="B671" s="524"/>
    </row>
    <row r="672" spans="2:2" ht="12" customHeight="1">
      <c r="B672" s="524"/>
    </row>
    <row r="673" spans="2:2" ht="12" customHeight="1">
      <c r="B673" s="524"/>
    </row>
    <row r="674" spans="2:2" ht="12" customHeight="1">
      <c r="B674" s="524"/>
    </row>
    <row r="675" spans="2:2" ht="12" customHeight="1">
      <c r="B675" s="524"/>
    </row>
    <row r="676" spans="2:2" ht="12" customHeight="1">
      <c r="B676" s="524"/>
    </row>
    <row r="677" spans="2:2" ht="12" customHeight="1">
      <c r="B677" s="524"/>
    </row>
    <row r="678" spans="2:2" ht="12" customHeight="1">
      <c r="B678" s="524"/>
    </row>
    <row r="679" spans="2:2" ht="12" customHeight="1">
      <c r="B679" s="524"/>
    </row>
    <row r="680" spans="2:2" ht="12" customHeight="1">
      <c r="B680" s="524"/>
    </row>
    <row r="681" spans="2:2" ht="12" customHeight="1">
      <c r="B681" s="524"/>
    </row>
    <row r="682" spans="2:2" ht="12" customHeight="1">
      <c r="B682" s="524"/>
    </row>
    <row r="683" spans="2:2" ht="12" customHeight="1">
      <c r="B683" s="524"/>
    </row>
    <row r="684" spans="2:2" ht="12" customHeight="1">
      <c r="B684" s="524"/>
    </row>
    <row r="685" spans="2:2" ht="12" customHeight="1">
      <c r="B685" s="524"/>
    </row>
    <row r="686" spans="2:2" ht="12" customHeight="1">
      <c r="B686" s="524"/>
    </row>
    <row r="687" spans="2:2" ht="12" customHeight="1">
      <c r="B687" s="524"/>
    </row>
    <row r="688" spans="2:2" ht="12" customHeight="1">
      <c r="B688" s="524"/>
    </row>
    <row r="689" spans="2:2" ht="12" customHeight="1">
      <c r="B689" s="524"/>
    </row>
    <row r="690" spans="2:2" ht="12" customHeight="1">
      <c r="B690" s="524"/>
    </row>
    <row r="691" spans="2:2" ht="12" customHeight="1">
      <c r="B691" s="524"/>
    </row>
    <row r="692" spans="2:2" ht="12" customHeight="1">
      <c r="B692" s="524"/>
    </row>
    <row r="693" spans="2:2" ht="12" customHeight="1">
      <c r="B693" s="524"/>
    </row>
    <row r="694" spans="2:2" ht="12" customHeight="1">
      <c r="B694" s="524"/>
    </row>
    <row r="695" spans="2:2" ht="12" customHeight="1">
      <c r="B695" s="524"/>
    </row>
    <row r="696" spans="2:2" ht="12" customHeight="1">
      <c r="B696" s="524"/>
    </row>
    <row r="697" spans="2:2" ht="12" customHeight="1">
      <c r="B697" s="524"/>
    </row>
    <row r="698" spans="2:2" ht="12" customHeight="1">
      <c r="B698" s="524"/>
    </row>
    <row r="699" spans="2:2" ht="12" customHeight="1">
      <c r="B699" s="524"/>
    </row>
    <row r="700" spans="2:2" ht="12" customHeight="1">
      <c r="B700" s="524"/>
    </row>
    <row r="701" spans="2:2" ht="12" customHeight="1">
      <c r="B701" s="524"/>
    </row>
    <row r="702" spans="2:2" ht="12" customHeight="1">
      <c r="B702" s="524"/>
    </row>
    <row r="703" spans="2:2" ht="12" customHeight="1">
      <c r="B703" s="524"/>
    </row>
    <row r="704" spans="2:2" ht="12" customHeight="1">
      <c r="B704" s="524"/>
    </row>
    <row r="705" spans="2:2" ht="12" customHeight="1">
      <c r="B705" s="524"/>
    </row>
    <row r="706" spans="2:2" ht="12" customHeight="1">
      <c r="B706" s="524"/>
    </row>
    <row r="707" spans="2:2" ht="12" customHeight="1">
      <c r="B707" s="524"/>
    </row>
    <row r="708" spans="2:2" ht="12" customHeight="1">
      <c r="B708" s="524"/>
    </row>
    <row r="709" spans="2:2" ht="12" customHeight="1">
      <c r="B709" s="524"/>
    </row>
    <row r="710" spans="2:2" ht="12" customHeight="1">
      <c r="B710" s="524"/>
    </row>
    <row r="711" spans="2:2" ht="12" customHeight="1">
      <c r="B711" s="524"/>
    </row>
    <row r="712" spans="2:2" ht="12" customHeight="1">
      <c r="B712" s="524"/>
    </row>
    <row r="713" spans="2:2" ht="12" customHeight="1">
      <c r="B713" s="524"/>
    </row>
    <row r="714" spans="2:2" ht="12" customHeight="1">
      <c r="B714" s="524"/>
    </row>
    <row r="715" spans="2:2" ht="12" customHeight="1">
      <c r="B715" s="524"/>
    </row>
    <row r="716" spans="2:2" ht="12" customHeight="1">
      <c r="B716" s="524"/>
    </row>
    <row r="717" spans="2:2" ht="12" customHeight="1">
      <c r="B717" s="524"/>
    </row>
    <row r="718" spans="2:2" ht="12" customHeight="1">
      <c r="B718" s="524"/>
    </row>
    <row r="719" spans="2:2" ht="12" customHeight="1">
      <c r="B719" s="524"/>
    </row>
    <row r="720" spans="2:2" ht="12" customHeight="1">
      <c r="B720" s="524"/>
    </row>
    <row r="721" spans="2:2" ht="12" customHeight="1">
      <c r="B721" s="524"/>
    </row>
    <row r="722" spans="2:2" ht="12" customHeight="1">
      <c r="B722" s="524"/>
    </row>
    <row r="723" spans="2:2" ht="12" customHeight="1">
      <c r="B723" s="524"/>
    </row>
    <row r="724" spans="2:2" ht="12" customHeight="1">
      <c r="B724" s="524"/>
    </row>
    <row r="725" spans="2:2" ht="12" customHeight="1">
      <c r="B725" s="524"/>
    </row>
    <row r="726" spans="2:2" ht="12" customHeight="1">
      <c r="B726" s="524"/>
    </row>
    <row r="727" spans="2:2" ht="12" customHeight="1">
      <c r="B727" s="524"/>
    </row>
    <row r="728" spans="2:2" ht="12" customHeight="1">
      <c r="B728" s="524"/>
    </row>
    <row r="729" spans="2:2" ht="12" customHeight="1">
      <c r="B729" s="524"/>
    </row>
    <row r="730" spans="2:2" ht="12" customHeight="1">
      <c r="B730" s="524"/>
    </row>
    <row r="731" spans="2:2" ht="12" customHeight="1">
      <c r="B731" s="524"/>
    </row>
    <row r="732" spans="2:2" ht="12" customHeight="1">
      <c r="B732" s="524"/>
    </row>
    <row r="733" spans="2:2" ht="12" customHeight="1">
      <c r="B733" s="524"/>
    </row>
    <row r="734" spans="2:2" ht="12" customHeight="1">
      <c r="B734" s="524"/>
    </row>
    <row r="735" spans="2:2" ht="12" customHeight="1">
      <c r="B735" s="524"/>
    </row>
    <row r="736" spans="2:2" ht="12" customHeight="1">
      <c r="B736" s="524"/>
    </row>
    <row r="737" spans="2:2" ht="12" customHeight="1">
      <c r="B737" s="524"/>
    </row>
    <row r="738" spans="2:2" ht="12" customHeight="1">
      <c r="B738" s="524"/>
    </row>
    <row r="739" spans="2:2" ht="12" customHeight="1">
      <c r="B739" s="524"/>
    </row>
    <row r="740" spans="2:2" ht="12" customHeight="1">
      <c r="B740" s="524"/>
    </row>
    <row r="741" spans="2:2" ht="12" customHeight="1">
      <c r="B741" s="524"/>
    </row>
    <row r="742" spans="2:2" ht="12" customHeight="1">
      <c r="B742" s="524"/>
    </row>
    <row r="743" spans="2:2" ht="12" customHeight="1">
      <c r="B743" s="524"/>
    </row>
    <row r="744" spans="2:2" ht="12" customHeight="1">
      <c r="B744" s="524"/>
    </row>
    <row r="745" spans="2:2" ht="12" customHeight="1">
      <c r="B745" s="524"/>
    </row>
    <row r="746" spans="2:2" ht="12" customHeight="1">
      <c r="B746" s="524"/>
    </row>
    <row r="747" spans="2:2" ht="12" customHeight="1">
      <c r="B747" s="524"/>
    </row>
    <row r="748" spans="2:2" ht="12" customHeight="1">
      <c r="B748" s="524"/>
    </row>
    <row r="749" spans="2:2" ht="12" customHeight="1">
      <c r="B749" s="524"/>
    </row>
    <row r="750" spans="2:2" ht="12" customHeight="1">
      <c r="B750" s="524"/>
    </row>
    <row r="751" spans="2:2" ht="12" customHeight="1">
      <c r="B751" s="524"/>
    </row>
    <row r="752" spans="2:2" ht="12" customHeight="1">
      <c r="B752" s="524"/>
    </row>
    <row r="753" spans="2:2" ht="12" customHeight="1">
      <c r="B753" s="524"/>
    </row>
    <row r="754" spans="2:2" ht="12" customHeight="1">
      <c r="B754" s="524"/>
    </row>
    <row r="755" spans="2:2" ht="12" customHeight="1">
      <c r="B755" s="524"/>
    </row>
    <row r="756" spans="2:2" ht="12" customHeight="1">
      <c r="B756" s="524"/>
    </row>
    <row r="757" spans="2:2" ht="12" customHeight="1">
      <c r="B757" s="524"/>
    </row>
    <row r="758" spans="2:2" ht="12" customHeight="1">
      <c r="B758" s="524"/>
    </row>
    <row r="759" spans="2:2" ht="12" customHeight="1">
      <c r="B759" s="524"/>
    </row>
    <row r="760" spans="2:2" ht="12" customHeight="1">
      <c r="B760" s="524"/>
    </row>
    <row r="761" spans="2:2" ht="12" customHeight="1">
      <c r="B761" s="524"/>
    </row>
    <row r="762" spans="2:2" ht="12" customHeight="1">
      <c r="B762" s="524"/>
    </row>
    <row r="763" spans="2:2" ht="12" customHeight="1">
      <c r="B763" s="524"/>
    </row>
    <row r="764" spans="2:2" ht="12" customHeight="1">
      <c r="B764" s="524"/>
    </row>
    <row r="765" spans="2:2" ht="12" customHeight="1">
      <c r="B765" s="524"/>
    </row>
    <row r="766" spans="2:2" ht="12" customHeight="1">
      <c r="B766" s="524"/>
    </row>
    <row r="767" spans="2:2" ht="12" customHeight="1">
      <c r="B767" s="524"/>
    </row>
    <row r="768" spans="2:2" ht="12" customHeight="1">
      <c r="B768" s="524"/>
    </row>
    <row r="769" spans="2:2" ht="12" customHeight="1">
      <c r="B769" s="524"/>
    </row>
    <row r="770" spans="2:2" ht="12" customHeight="1">
      <c r="B770" s="524"/>
    </row>
    <row r="771" spans="2:2" ht="12" customHeight="1">
      <c r="B771" s="524"/>
    </row>
    <row r="772" spans="2:2" ht="12" customHeight="1">
      <c r="B772" s="524"/>
    </row>
    <row r="773" spans="2:2" ht="12" customHeight="1">
      <c r="B773" s="524"/>
    </row>
    <row r="774" spans="2:2" ht="12" customHeight="1">
      <c r="B774" s="524"/>
    </row>
    <row r="775" spans="2:2" ht="12" customHeight="1">
      <c r="B775" s="524"/>
    </row>
    <row r="776" spans="2:2" ht="12" customHeight="1">
      <c r="B776" s="524"/>
    </row>
    <row r="777" spans="2:2" ht="12" customHeight="1">
      <c r="B777" s="524"/>
    </row>
    <row r="778" spans="2:2" ht="12" customHeight="1">
      <c r="B778" s="524"/>
    </row>
    <row r="779" spans="2:2" ht="12" customHeight="1">
      <c r="B779" s="524"/>
    </row>
    <row r="780" spans="2:2" ht="12" customHeight="1">
      <c r="B780" s="524"/>
    </row>
    <row r="781" spans="2:2" ht="12" customHeight="1">
      <c r="B781" s="524"/>
    </row>
    <row r="782" spans="2:2" ht="12" customHeight="1">
      <c r="B782" s="524"/>
    </row>
    <row r="783" spans="2:2" ht="12" customHeight="1">
      <c r="B783" s="524"/>
    </row>
    <row r="784" spans="2:2" ht="12" customHeight="1">
      <c r="B784" s="524"/>
    </row>
    <row r="785" spans="2:2" ht="12" customHeight="1">
      <c r="B785" s="524"/>
    </row>
    <row r="786" spans="2:2" ht="12" customHeight="1">
      <c r="B786" s="524"/>
    </row>
    <row r="787" spans="2:2" ht="12" customHeight="1">
      <c r="B787" s="524"/>
    </row>
    <row r="788" spans="2:2" ht="12" customHeight="1">
      <c r="B788" s="524"/>
    </row>
    <row r="789" spans="2:2" ht="12" customHeight="1">
      <c r="B789" s="524"/>
    </row>
    <row r="790" spans="2:2" ht="12" customHeight="1">
      <c r="B790" s="524"/>
    </row>
    <row r="791" spans="2:2" ht="12" customHeight="1">
      <c r="B791" s="524"/>
    </row>
    <row r="792" spans="2:2" ht="12" customHeight="1">
      <c r="B792" s="524"/>
    </row>
    <row r="793" spans="2:2" ht="12" customHeight="1">
      <c r="B793" s="524"/>
    </row>
    <row r="794" spans="2:2" ht="12" customHeight="1">
      <c r="B794" s="524"/>
    </row>
    <row r="795" spans="2:2" ht="12" customHeight="1">
      <c r="B795" s="524"/>
    </row>
    <row r="796" spans="2:2" ht="12" customHeight="1">
      <c r="B796" s="524"/>
    </row>
    <row r="797" spans="2:2" ht="12" customHeight="1">
      <c r="B797" s="524"/>
    </row>
    <row r="798" spans="2:2" ht="12" customHeight="1">
      <c r="B798" s="524"/>
    </row>
    <row r="799" spans="2:2" ht="12" customHeight="1">
      <c r="B799" s="524"/>
    </row>
    <row r="800" spans="2:2" ht="12" customHeight="1">
      <c r="B800" s="524"/>
    </row>
    <row r="801" spans="2:2" ht="12" customHeight="1">
      <c r="B801" s="524"/>
    </row>
    <row r="802" spans="2:2" ht="12" customHeight="1">
      <c r="B802" s="524"/>
    </row>
    <row r="803" spans="2:2" ht="12" customHeight="1">
      <c r="B803" s="524"/>
    </row>
    <row r="804" spans="2:2" ht="12" customHeight="1">
      <c r="B804" s="524"/>
    </row>
    <row r="805" spans="2:2" ht="12" customHeight="1">
      <c r="B805" s="524"/>
    </row>
    <row r="806" spans="2:2" ht="12" customHeight="1">
      <c r="B806" s="524"/>
    </row>
    <row r="807" spans="2:2" ht="12" customHeight="1">
      <c r="B807" s="524"/>
    </row>
    <row r="808" spans="2:2" ht="12" customHeight="1">
      <c r="B808" s="524"/>
    </row>
    <row r="809" spans="2:2" ht="12" customHeight="1">
      <c r="B809" s="524"/>
    </row>
    <row r="810" spans="2:2" ht="12" customHeight="1">
      <c r="B810" s="524"/>
    </row>
    <row r="811" spans="2:2" ht="12" customHeight="1">
      <c r="B811" s="524"/>
    </row>
    <row r="812" spans="2:2" ht="12" customHeight="1">
      <c r="B812" s="524"/>
    </row>
    <row r="813" spans="2:2" ht="12" customHeight="1">
      <c r="B813" s="524"/>
    </row>
    <row r="814" spans="2:2" ht="12" customHeight="1">
      <c r="B814" s="524"/>
    </row>
    <row r="815" spans="2:2" ht="12" customHeight="1">
      <c r="B815" s="524"/>
    </row>
    <row r="816" spans="2:2" ht="12" customHeight="1">
      <c r="B816" s="524"/>
    </row>
    <row r="817" spans="2:2" ht="12" customHeight="1">
      <c r="B817" s="524"/>
    </row>
    <row r="818" spans="2:2" ht="12" customHeight="1">
      <c r="B818" s="524"/>
    </row>
    <row r="819" spans="2:2" ht="12" customHeight="1">
      <c r="B819" s="524"/>
    </row>
    <row r="820" spans="2:2" ht="12" customHeight="1">
      <c r="B820" s="524"/>
    </row>
    <row r="821" spans="2:2" ht="12" customHeight="1">
      <c r="B821" s="524"/>
    </row>
    <row r="822" spans="2:2" ht="12" customHeight="1">
      <c r="B822" s="524"/>
    </row>
    <row r="823" spans="2:2" ht="12" customHeight="1">
      <c r="B823" s="524"/>
    </row>
    <row r="824" spans="2:2" ht="12" customHeight="1">
      <c r="B824" s="524"/>
    </row>
    <row r="825" spans="2:2" ht="12" customHeight="1">
      <c r="B825" s="524"/>
    </row>
    <row r="826" spans="2:2" ht="12" customHeight="1">
      <c r="B826" s="524"/>
    </row>
    <row r="827" spans="2:2" ht="12" customHeight="1">
      <c r="B827" s="524"/>
    </row>
    <row r="828" spans="2:2" ht="12" customHeight="1">
      <c r="B828" s="524"/>
    </row>
    <row r="829" spans="2:2" ht="12" customHeight="1">
      <c r="B829" s="524"/>
    </row>
    <row r="830" spans="2:2" ht="12" customHeight="1">
      <c r="B830" s="524"/>
    </row>
    <row r="831" spans="2:2" ht="12" customHeight="1">
      <c r="B831" s="524"/>
    </row>
    <row r="832" spans="2:2" ht="12" customHeight="1">
      <c r="B832" s="524"/>
    </row>
    <row r="833" spans="2:2" ht="12" customHeight="1">
      <c r="B833" s="524"/>
    </row>
    <row r="834" spans="2:2" ht="12" customHeight="1">
      <c r="B834" s="524"/>
    </row>
    <row r="835" spans="2:2" ht="12" customHeight="1">
      <c r="B835" s="524"/>
    </row>
    <row r="836" spans="2:2" ht="12" customHeight="1">
      <c r="B836" s="524"/>
    </row>
    <row r="837" spans="2:2" ht="12" customHeight="1">
      <c r="B837" s="524"/>
    </row>
    <row r="838" spans="2:2" ht="12" customHeight="1">
      <c r="B838" s="524"/>
    </row>
    <row r="839" spans="2:2" ht="12" customHeight="1">
      <c r="B839" s="524"/>
    </row>
    <row r="840" spans="2:2" ht="12" customHeight="1">
      <c r="B840" s="524"/>
    </row>
    <row r="841" spans="2:2" ht="12" customHeight="1">
      <c r="B841" s="524"/>
    </row>
    <row r="842" spans="2:2" ht="12" customHeight="1">
      <c r="B842" s="524"/>
    </row>
    <row r="843" spans="2:2" ht="12" customHeight="1">
      <c r="B843" s="524"/>
    </row>
    <row r="844" spans="2:2" ht="12" customHeight="1">
      <c r="B844" s="524"/>
    </row>
    <row r="845" spans="2:2" ht="12" customHeight="1">
      <c r="B845" s="524"/>
    </row>
    <row r="846" spans="2:2" ht="12" customHeight="1">
      <c r="B846" s="524"/>
    </row>
    <row r="847" spans="2:2" ht="12" customHeight="1">
      <c r="B847" s="524"/>
    </row>
    <row r="848" spans="2:2" ht="12" customHeight="1">
      <c r="B848" s="524"/>
    </row>
    <row r="849" spans="2:2" ht="12" customHeight="1">
      <c r="B849" s="524"/>
    </row>
    <row r="850" spans="2:2" ht="12" customHeight="1">
      <c r="B850" s="524"/>
    </row>
    <row r="851" spans="2:2" ht="12" customHeight="1">
      <c r="B851" s="524"/>
    </row>
    <row r="852" spans="2:2" ht="12" customHeight="1">
      <c r="B852" s="524"/>
    </row>
    <row r="853" spans="2:2" ht="12" customHeight="1">
      <c r="B853" s="524"/>
    </row>
    <row r="854" spans="2:2" ht="12" customHeight="1">
      <c r="B854" s="524"/>
    </row>
    <row r="855" spans="2:2" ht="12" customHeight="1">
      <c r="B855" s="524"/>
    </row>
    <row r="856" spans="2:2" ht="12" customHeight="1">
      <c r="B856" s="524"/>
    </row>
    <row r="857" spans="2:2" ht="12" customHeight="1">
      <c r="B857" s="524"/>
    </row>
    <row r="858" spans="2:2" ht="12" customHeight="1">
      <c r="B858" s="524"/>
    </row>
    <row r="859" spans="2:2" ht="12" customHeight="1">
      <c r="B859" s="524"/>
    </row>
    <row r="860" spans="2:2" ht="12" customHeight="1">
      <c r="B860" s="524"/>
    </row>
    <row r="861" spans="2:2" ht="12" customHeight="1">
      <c r="B861" s="524"/>
    </row>
    <row r="862" spans="2:2" ht="12" customHeight="1">
      <c r="B862" s="524"/>
    </row>
    <row r="863" spans="2:2" ht="12" customHeight="1">
      <c r="B863" s="524"/>
    </row>
    <row r="864" spans="2:2" ht="12" customHeight="1">
      <c r="B864" s="524"/>
    </row>
    <row r="865" spans="2:2" ht="12" customHeight="1">
      <c r="B865" s="524"/>
    </row>
    <row r="866" spans="2:2" ht="12" customHeight="1">
      <c r="B866" s="524"/>
    </row>
    <row r="867" spans="2:2" ht="12" customHeight="1">
      <c r="B867" s="524"/>
    </row>
    <row r="868" spans="2:2" ht="12" customHeight="1">
      <c r="B868" s="524"/>
    </row>
    <row r="869" spans="2:2" ht="12" customHeight="1">
      <c r="B869" s="524"/>
    </row>
    <row r="870" spans="2:2" ht="12" customHeight="1">
      <c r="B870" s="524"/>
    </row>
    <row r="871" spans="2:2" ht="12" customHeight="1">
      <c r="B871" s="524"/>
    </row>
    <row r="872" spans="2:2" ht="12" customHeight="1">
      <c r="B872" s="524"/>
    </row>
    <row r="873" spans="2:2" ht="12" customHeight="1">
      <c r="B873" s="524"/>
    </row>
    <row r="874" spans="2:2" ht="12" customHeight="1">
      <c r="B874" s="524"/>
    </row>
    <row r="875" spans="2:2" ht="12" customHeight="1">
      <c r="B875" s="524"/>
    </row>
    <row r="876" spans="2:2" ht="12" customHeight="1">
      <c r="B876" s="524"/>
    </row>
    <row r="877" spans="2:2" ht="12" customHeight="1">
      <c r="B877" s="524"/>
    </row>
    <row r="878" spans="2:2" ht="12" customHeight="1">
      <c r="B878" s="524"/>
    </row>
    <row r="879" spans="2:2" ht="12" customHeight="1">
      <c r="B879" s="524"/>
    </row>
    <row r="880" spans="2:2" ht="12" customHeight="1">
      <c r="B880" s="524"/>
    </row>
    <row r="881" spans="2:2" ht="12" customHeight="1">
      <c r="B881" s="524"/>
    </row>
    <row r="882" spans="2:2" ht="12" customHeight="1">
      <c r="B882" s="524"/>
    </row>
    <row r="883" spans="2:2" ht="12" customHeight="1">
      <c r="B883" s="524"/>
    </row>
    <row r="884" spans="2:2" ht="12" customHeight="1">
      <c r="B884" s="524"/>
    </row>
    <row r="885" spans="2:2" ht="12" customHeight="1">
      <c r="B885" s="524"/>
    </row>
    <row r="886" spans="2:2" ht="12" customHeight="1">
      <c r="B886" s="524"/>
    </row>
    <row r="887" spans="2:2" ht="12" customHeight="1">
      <c r="B887" s="524"/>
    </row>
    <row r="888" spans="2:2" ht="12" customHeight="1">
      <c r="B888" s="524"/>
    </row>
    <row r="889" spans="2:2" ht="12" customHeight="1">
      <c r="B889" s="524"/>
    </row>
    <row r="890" spans="2:2" ht="12" customHeight="1">
      <c r="B890" s="524"/>
    </row>
    <row r="891" spans="2:2" ht="12" customHeight="1">
      <c r="B891" s="524"/>
    </row>
    <row r="892" spans="2:2" ht="12" customHeight="1">
      <c r="B892" s="524"/>
    </row>
    <row r="893" spans="2:2" ht="12" customHeight="1">
      <c r="B893" s="524"/>
    </row>
    <row r="894" spans="2:2" ht="12" customHeight="1">
      <c r="B894" s="524"/>
    </row>
    <row r="895" spans="2:2" ht="12" customHeight="1">
      <c r="B895" s="524"/>
    </row>
    <row r="896" spans="2:2" ht="12" customHeight="1">
      <c r="B896" s="524"/>
    </row>
    <row r="897" spans="2:2" ht="12" customHeight="1">
      <c r="B897" s="524"/>
    </row>
    <row r="898" spans="2:2" ht="12" customHeight="1">
      <c r="B898" s="524"/>
    </row>
    <row r="899" spans="2:2" ht="12" customHeight="1">
      <c r="B899" s="524"/>
    </row>
    <row r="900" spans="2:2" ht="12" customHeight="1">
      <c r="B900" s="524"/>
    </row>
    <row r="901" spans="2:2" ht="12" customHeight="1">
      <c r="B901" s="524"/>
    </row>
    <row r="902" spans="2:2" ht="12" customHeight="1">
      <c r="B902" s="524"/>
    </row>
    <row r="903" spans="2:2" ht="12" customHeight="1">
      <c r="B903" s="524"/>
    </row>
    <row r="904" spans="2:2" ht="12" customHeight="1">
      <c r="B904" s="524"/>
    </row>
    <row r="905" spans="2:2" ht="12" customHeight="1">
      <c r="B905" s="524"/>
    </row>
    <row r="906" spans="2:2" ht="12" customHeight="1">
      <c r="B906" s="524"/>
    </row>
    <row r="907" spans="2:2" ht="12" customHeight="1">
      <c r="B907" s="524"/>
    </row>
    <row r="908" spans="2:2" ht="12" customHeight="1">
      <c r="B908" s="524"/>
    </row>
    <row r="909" spans="2:2" ht="12" customHeight="1">
      <c r="B909" s="524"/>
    </row>
    <row r="910" spans="2:2" ht="12" customHeight="1">
      <c r="B910" s="524"/>
    </row>
    <row r="911" spans="2:2" ht="12" customHeight="1">
      <c r="B911" s="524"/>
    </row>
    <row r="912" spans="2:2" ht="12" customHeight="1">
      <c r="B912" s="524"/>
    </row>
    <row r="913" spans="2:2" ht="12" customHeight="1">
      <c r="B913" s="524"/>
    </row>
    <row r="914" spans="2:2" ht="12" customHeight="1">
      <c r="B914" s="524"/>
    </row>
    <row r="915" spans="2:2" ht="12" customHeight="1">
      <c r="B915" s="524"/>
    </row>
    <row r="916" spans="2:2" ht="12" customHeight="1">
      <c r="B916" s="524"/>
    </row>
    <row r="917" spans="2:2" ht="12" customHeight="1">
      <c r="B917" s="524"/>
    </row>
    <row r="918" spans="2:2" ht="12" customHeight="1">
      <c r="B918" s="524"/>
    </row>
    <row r="919" spans="2:2" ht="12" customHeight="1">
      <c r="B919" s="524"/>
    </row>
    <row r="920" spans="2:2" ht="12" customHeight="1">
      <c r="B920" s="524"/>
    </row>
    <row r="921" spans="2:2" ht="12" customHeight="1">
      <c r="B921" s="524"/>
    </row>
    <row r="922" spans="2:2" ht="12" customHeight="1">
      <c r="B922" s="524"/>
    </row>
    <row r="923" spans="2:2" ht="12" customHeight="1">
      <c r="B923" s="524"/>
    </row>
    <row r="924" spans="2:2" ht="12" customHeight="1">
      <c r="B924" s="524"/>
    </row>
    <row r="925" spans="2:2" ht="12" customHeight="1">
      <c r="B925" s="524"/>
    </row>
    <row r="926" spans="2:2" ht="12" customHeight="1">
      <c r="B926" s="524"/>
    </row>
    <row r="927" spans="2:2" ht="12" customHeight="1">
      <c r="B927" s="524"/>
    </row>
    <row r="928" spans="2:2" ht="12" customHeight="1">
      <c r="B928" s="524"/>
    </row>
    <row r="929" spans="2:2" ht="12" customHeight="1">
      <c r="B929" s="524"/>
    </row>
    <row r="930" spans="2:2" ht="12" customHeight="1">
      <c r="B930" s="524"/>
    </row>
    <row r="931" spans="2:2" ht="12" customHeight="1">
      <c r="B931" s="524"/>
    </row>
    <row r="932" spans="2:2" ht="12" customHeight="1">
      <c r="B932" s="524"/>
    </row>
    <row r="933" spans="2:2" ht="12" customHeight="1">
      <c r="B933" s="524"/>
    </row>
    <row r="934" spans="2:2" ht="12" customHeight="1">
      <c r="B934" s="524"/>
    </row>
    <row r="935" spans="2:2" ht="12" customHeight="1">
      <c r="B935" s="524"/>
    </row>
    <row r="936" spans="2:2" ht="12" customHeight="1">
      <c r="B936" s="524"/>
    </row>
    <row r="937" spans="2:2" ht="12" customHeight="1">
      <c r="B937" s="524"/>
    </row>
    <row r="938" spans="2:2" ht="12" customHeight="1">
      <c r="B938" s="524"/>
    </row>
    <row r="939" spans="2:2" ht="12" customHeight="1">
      <c r="B939" s="524"/>
    </row>
    <row r="940" spans="2:2" ht="12" customHeight="1">
      <c r="B940" s="524"/>
    </row>
    <row r="941" spans="2:2" ht="12" customHeight="1">
      <c r="B941" s="524"/>
    </row>
    <row r="942" spans="2:2" ht="12" customHeight="1">
      <c r="B942" s="524"/>
    </row>
    <row r="943" spans="2:2" ht="12" customHeight="1">
      <c r="B943" s="524"/>
    </row>
    <row r="944" spans="2:2" ht="12" customHeight="1">
      <c r="B944" s="524"/>
    </row>
    <row r="945" spans="2:2" ht="12" customHeight="1">
      <c r="B945" s="524"/>
    </row>
    <row r="946" spans="2:2" ht="12" customHeight="1">
      <c r="B946" s="524"/>
    </row>
    <row r="947" spans="2:2" ht="12" customHeight="1">
      <c r="B947" s="524"/>
    </row>
    <row r="948" spans="2:2" ht="12" customHeight="1">
      <c r="B948" s="524"/>
    </row>
    <row r="949" spans="2:2" ht="12" customHeight="1">
      <c r="B949" s="524"/>
    </row>
    <row r="950" spans="2:2" ht="12" customHeight="1">
      <c r="B950" s="524"/>
    </row>
    <row r="951" spans="2:2" ht="12" customHeight="1">
      <c r="B951" s="524"/>
    </row>
    <row r="952" spans="2:2" ht="12" customHeight="1">
      <c r="B952" s="524"/>
    </row>
    <row r="953" spans="2:2" ht="12" customHeight="1">
      <c r="B953" s="524"/>
    </row>
    <row r="954" spans="2:2" ht="12" customHeight="1">
      <c r="B954" s="524"/>
    </row>
    <row r="955" spans="2:2" ht="12" customHeight="1">
      <c r="B955" s="524"/>
    </row>
    <row r="956" spans="2:2" ht="12" customHeight="1">
      <c r="B956" s="524"/>
    </row>
    <row r="957" spans="2:2" ht="12" customHeight="1">
      <c r="B957" s="524"/>
    </row>
    <row r="958" spans="2:2" ht="12" customHeight="1">
      <c r="B958" s="524"/>
    </row>
    <row r="959" spans="2:2" ht="12" customHeight="1">
      <c r="B959" s="524"/>
    </row>
    <row r="960" spans="2:2" ht="12" customHeight="1">
      <c r="B960" s="524"/>
    </row>
    <row r="961" spans="2:2" ht="12" customHeight="1">
      <c r="B961" s="524"/>
    </row>
    <row r="962" spans="2:2" ht="12" customHeight="1">
      <c r="B962" s="524"/>
    </row>
    <row r="963" spans="2:2" ht="12" customHeight="1">
      <c r="B963" s="524"/>
    </row>
    <row r="964" spans="2:2" ht="12" customHeight="1">
      <c r="B964" s="524"/>
    </row>
    <row r="965" spans="2:2" ht="12" customHeight="1">
      <c r="B965" s="524"/>
    </row>
    <row r="966" spans="2:2" ht="12" customHeight="1">
      <c r="B966" s="524"/>
    </row>
    <row r="967" spans="2:2" ht="12" customHeight="1">
      <c r="B967" s="524"/>
    </row>
    <row r="968" spans="2:2" ht="12" customHeight="1">
      <c r="B968" s="524"/>
    </row>
    <row r="969" spans="2:2" ht="12" customHeight="1">
      <c r="B969" s="524"/>
    </row>
    <row r="970" spans="2:2" ht="12" customHeight="1">
      <c r="B970" s="524"/>
    </row>
    <row r="971" spans="2:2" ht="12" customHeight="1">
      <c r="B971" s="524"/>
    </row>
    <row r="972" spans="2:2" ht="12" customHeight="1">
      <c r="B972" s="524"/>
    </row>
    <row r="973" spans="2:2" ht="12" customHeight="1">
      <c r="B973" s="524"/>
    </row>
    <row r="974" spans="2:2" ht="12" customHeight="1">
      <c r="B974" s="524"/>
    </row>
    <row r="975" spans="2:2" ht="12" customHeight="1">
      <c r="B975" s="524"/>
    </row>
    <row r="976" spans="2:2" ht="12" customHeight="1">
      <c r="B976" s="524"/>
    </row>
    <row r="977" spans="2:2" ht="12" customHeight="1">
      <c r="B977" s="524"/>
    </row>
    <row r="978" spans="2:2" ht="12" customHeight="1">
      <c r="B978" s="524"/>
    </row>
    <row r="979" spans="2:2" ht="12" customHeight="1">
      <c r="B979" s="524"/>
    </row>
    <row r="980" spans="2:2" ht="12" customHeight="1">
      <c r="B980" s="524"/>
    </row>
    <row r="981" spans="2:2" ht="12" customHeight="1">
      <c r="B981" s="524"/>
    </row>
    <row r="982" spans="2:2" ht="12" customHeight="1">
      <c r="B982" s="524"/>
    </row>
    <row r="983" spans="2:2" ht="12" customHeight="1">
      <c r="B983" s="524"/>
    </row>
    <row r="984" spans="2:2" ht="12" customHeight="1">
      <c r="B984" s="524"/>
    </row>
  </sheetData>
  <sheetProtection algorithmName="SHA-512" hashValue="4ndl+bL3+Me0wT5DuFxk+q2V46N1+JbfFH20AmIaMs+V+JSVnV3HYx1w50Jcy3sd1pP8wUqSI6pcRJCWn6Ousw==" saltValue="jre3o5R9vG8hwnyC3ZIHbQ==" spinCount="100000" sheet="1" objects="1" scenarios="1"/>
  <pageMargins left="0.75" right="0.75" top="1" bottom="1" header="0" footer="0"/>
  <pageSetup scale="74"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sheetPr>
  <dimension ref="A1:AD988"/>
  <sheetViews>
    <sheetView showGridLines="0" workbookViewId="0">
      <selection activeCell="C30" sqref="C30"/>
    </sheetView>
  </sheetViews>
  <sheetFormatPr defaultColWidth="17.27734375" defaultRowHeight="15" customHeight="1"/>
  <cols>
    <col min="1" max="1" width="38.609375" style="279" customWidth="1"/>
    <col min="2" max="2" width="7.5546875" style="279" customWidth="1"/>
    <col min="3" max="3" width="10.27734375" style="279" customWidth="1"/>
    <col min="4" max="4" width="10.44140625" style="279" customWidth="1"/>
    <col min="5" max="7" width="12.71875" style="279" customWidth="1"/>
    <col min="8" max="8" width="14.5546875" style="279" customWidth="1"/>
    <col min="9" max="9" width="12.71875" style="279" customWidth="1"/>
    <col min="10" max="12" width="10.44140625" style="279" customWidth="1"/>
    <col min="13" max="13" width="10.109375" style="279" customWidth="1"/>
    <col min="14" max="14" width="10.44140625" style="279" customWidth="1"/>
    <col min="15" max="15" width="11.27734375" style="279" customWidth="1"/>
    <col min="16" max="19" width="10.44140625" style="279" customWidth="1"/>
    <col min="20" max="20" width="10.109375" style="279" customWidth="1"/>
    <col min="21" max="26" width="10.27734375" style="279" customWidth="1"/>
    <col min="27" max="30" width="8.71875" customWidth="1"/>
  </cols>
  <sheetData>
    <row r="1" spans="1:30" ht="12" customHeight="1">
      <c r="B1" s="524"/>
    </row>
    <row r="2" spans="1:30" ht="17.7">
      <c r="A2" s="817" t="s">
        <v>657</v>
      </c>
      <c r="B2" s="524"/>
    </row>
    <row r="3" spans="1:30" ht="12" customHeight="1">
      <c r="B3" s="524"/>
      <c r="G3" s="294"/>
    </row>
    <row r="4" spans="1:30" ht="12" customHeight="1">
      <c r="A4" s="818" t="s">
        <v>613</v>
      </c>
      <c r="B4" s="819" t="s">
        <v>179</v>
      </c>
      <c r="C4" s="819" t="s">
        <v>31</v>
      </c>
      <c r="D4" s="819" t="s">
        <v>21</v>
      </c>
      <c r="E4" s="819" t="s">
        <v>32</v>
      </c>
      <c r="F4" s="819" t="s">
        <v>33</v>
      </c>
      <c r="G4" s="821"/>
      <c r="H4" s="792" t="s">
        <v>909</v>
      </c>
    </row>
    <row r="5" spans="1:30" ht="12" customHeight="1">
      <c r="A5" s="336" t="str">
        <f>IF(A16="", "", A16)</f>
        <v>Insurance</v>
      </c>
      <c r="B5" s="433"/>
      <c r="C5" s="337">
        <f>IF(SUM(C20:N20)&gt;0, SUM(C20:N20), 0)</f>
        <v>0</v>
      </c>
      <c r="D5" s="337">
        <f>IF(SUM(O20:Z20)&gt;0, SUM(O20:Z20), 0)</f>
        <v>0</v>
      </c>
      <c r="E5" s="337">
        <f t="shared" ref="E5:E11" si="0">IF(D5="", "", D5*(1+B5))</f>
        <v>0</v>
      </c>
      <c r="F5" s="337">
        <f t="shared" ref="F5:F11" si="1">IF(E5="", "", E5*(1+B5))</f>
        <v>0</v>
      </c>
      <c r="G5" s="823"/>
      <c r="H5" s="1510" t="s">
        <v>769</v>
      </c>
      <c r="I5" s="1510"/>
      <c r="J5" s="1510"/>
      <c r="K5" s="1510"/>
    </row>
    <row r="6" spans="1:30" ht="12" customHeight="1">
      <c r="A6" s="336" t="str">
        <f>IF(A21="", "", A21)</f>
        <v>Leases</v>
      </c>
      <c r="B6" s="433"/>
      <c r="C6" s="337">
        <f>IF(SUM(C21:N21)&gt;0, SUM(C21:N21), 0)</f>
        <v>0</v>
      </c>
      <c r="D6" s="337">
        <f>IF(SUM(O21:Z21)&gt;0, SUM(O21:Z21), 0)</f>
        <v>0</v>
      </c>
      <c r="E6" s="337">
        <f t="shared" si="0"/>
        <v>0</v>
      </c>
      <c r="F6" s="337">
        <f t="shared" si="1"/>
        <v>0</v>
      </c>
      <c r="G6" s="823"/>
      <c r="H6" s="1510"/>
      <c r="I6" s="1510"/>
      <c r="J6" s="1510"/>
      <c r="K6" s="1510"/>
    </row>
    <row r="7" spans="1:30" ht="12" customHeight="1">
      <c r="A7" s="336" t="str">
        <f>IF(A22="", "", A22)</f>
        <v>Charitable Contributions</v>
      </c>
      <c r="B7" s="433"/>
      <c r="C7" s="337">
        <f>IF(SUM(C22:N22)&gt;0, SUM(C22:N22), 0)</f>
        <v>0</v>
      </c>
      <c r="D7" s="337">
        <f>IF(SUM(O22:Z22)&gt;0, SUM(O22:Z22), 0)</f>
        <v>0</v>
      </c>
      <c r="E7" s="337">
        <f t="shared" si="0"/>
        <v>0</v>
      </c>
      <c r="F7" s="337">
        <f t="shared" si="1"/>
        <v>0</v>
      </c>
      <c r="G7" s="823"/>
      <c r="H7" s="1510"/>
      <c r="I7" s="1510"/>
      <c r="J7" s="1510"/>
      <c r="K7" s="1510"/>
    </row>
    <row r="8" spans="1:30" ht="12" customHeight="1">
      <c r="A8" s="336" t="str">
        <f>IF(A23="", "", A23)</f>
        <v>Bad Debts/Write Offs</v>
      </c>
      <c r="B8" s="433"/>
      <c r="C8" s="337">
        <f>IF(SUM(C23:N23)&gt;0, SUM(C23:N23), 0)</f>
        <v>0</v>
      </c>
      <c r="D8" s="337">
        <f>IF(SUM(O23:Z23)&gt;0, SUM(O23:Z23), 0)</f>
        <v>0</v>
      </c>
      <c r="E8" s="337">
        <f t="shared" si="0"/>
        <v>0</v>
      </c>
      <c r="F8" s="337">
        <f t="shared" si="1"/>
        <v>0</v>
      </c>
      <c r="G8" s="823"/>
      <c r="H8" s="1510"/>
      <c r="I8" s="1510"/>
      <c r="J8" s="1510"/>
      <c r="K8" s="1510"/>
    </row>
    <row r="9" spans="1:30" ht="12" customHeight="1">
      <c r="A9" s="336" t="str">
        <f>IF(A24="", "", A24)</f>
        <v>Professional Services/Legal</v>
      </c>
      <c r="B9" s="433"/>
      <c r="C9" s="337">
        <f>IF(SUM(C24:N24)&gt;0, SUM(C24:N24), 0)</f>
        <v>0</v>
      </c>
      <c r="D9" s="337">
        <f>IF(SUM(O24:Z24)&gt;0, SUM(O24:Z24), 0)</f>
        <v>0</v>
      </c>
      <c r="E9" s="337">
        <f t="shared" si="0"/>
        <v>0</v>
      </c>
      <c r="F9" s="337">
        <f t="shared" si="1"/>
        <v>0</v>
      </c>
      <c r="G9" s="823"/>
      <c r="H9" s="1510"/>
      <c r="I9" s="1510"/>
      <c r="J9" s="1510"/>
      <c r="K9" s="1510"/>
    </row>
    <row r="10" spans="1:30" ht="12" customHeight="1">
      <c r="A10" s="336" t="str">
        <f>IF(A25="", "", A25)</f>
        <v>Bank Fees</v>
      </c>
      <c r="B10" s="433"/>
      <c r="C10" s="337">
        <f>IF(SUM(C29:N29)&gt;0, SUM(C29:N29), 0)</f>
        <v>0</v>
      </c>
      <c r="D10" s="337">
        <f>IF(SUM(O29:Z29)&gt;0, SUM(O29:Z29), 0)</f>
        <v>0</v>
      </c>
      <c r="E10" s="337">
        <f t="shared" si="0"/>
        <v>0</v>
      </c>
      <c r="F10" s="337">
        <f t="shared" si="1"/>
        <v>0</v>
      </c>
      <c r="G10" s="823"/>
      <c r="H10" s="1510"/>
      <c r="I10" s="1510"/>
      <c r="J10" s="1510"/>
      <c r="K10" s="1510"/>
    </row>
    <row r="11" spans="1:30" ht="12" customHeight="1">
      <c r="A11" s="984" t="s">
        <v>73</v>
      </c>
      <c r="B11" s="433"/>
      <c r="C11" s="337" t="str">
        <f>IF(SUM(C30:N30)&gt;0, SUM(C30:N30), "")</f>
        <v/>
      </c>
      <c r="D11" s="337" t="str">
        <f>IF(SUM(O30:Z30)&gt;0, SUM(O30:Z30), "")</f>
        <v/>
      </c>
      <c r="E11" s="337" t="str">
        <f t="shared" si="0"/>
        <v/>
      </c>
      <c r="F11" s="337" t="str">
        <f t="shared" si="1"/>
        <v/>
      </c>
      <c r="G11" s="823"/>
    </row>
    <row r="12" spans="1:30" ht="12" customHeight="1">
      <c r="A12" s="341" t="s">
        <v>591</v>
      </c>
      <c r="B12" s="903"/>
      <c r="C12" s="342">
        <f>SUM(C5:C11)</f>
        <v>0</v>
      </c>
      <c r="D12" s="342">
        <f>SUM(D5:D11)</f>
        <v>0</v>
      </c>
      <c r="E12" s="342">
        <f>SUM(E5:E11)</f>
        <v>0</v>
      </c>
      <c r="F12" s="342">
        <f>SUM(F5:F11)</f>
        <v>0</v>
      </c>
      <c r="G12" s="893"/>
    </row>
    <row r="13" spans="1:30" ht="12" customHeight="1">
      <c r="B13" s="524"/>
    </row>
    <row r="14" spans="1:30" s="274" customFormat="1" ht="12" customHeight="1">
      <c r="A14" s="792" t="s">
        <v>722</v>
      </c>
      <c r="B14" s="987"/>
      <c r="C14" s="988" t="s">
        <v>31</v>
      </c>
      <c r="D14" s="792"/>
      <c r="E14" s="792"/>
      <c r="F14" s="792"/>
      <c r="G14" s="792"/>
      <c r="H14" s="792"/>
      <c r="I14" s="792"/>
      <c r="J14" s="792"/>
      <c r="K14" s="792"/>
      <c r="L14" s="792"/>
      <c r="M14" s="792"/>
      <c r="N14" s="989"/>
      <c r="O14" s="990" t="s">
        <v>21</v>
      </c>
      <c r="P14" s="792"/>
      <c r="Q14" s="792"/>
      <c r="R14" s="792"/>
      <c r="S14" s="792"/>
      <c r="T14" s="792"/>
      <c r="U14" s="792"/>
      <c r="V14" s="792"/>
      <c r="W14" s="792"/>
      <c r="X14" s="792"/>
      <c r="Y14" s="792"/>
      <c r="Z14" s="792"/>
    </row>
    <row r="15" spans="1:30" ht="12" customHeight="1">
      <c r="A15" s="904" t="s">
        <v>723</v>
      </c>
      <c r="B15" s="904" t="s">
        <v>724</v>
      </c>
      <c r="C15" s="1313">
        <f>'2 yr monthly cash flow'!B8</f>
        <v>6</v>
      </c>
      <c r="D15" s="637">
        <f>'2 yr monthly cash flow'!C8</f>
        <v>7</v>
      </c>
      <c r="E15" s="637">
        <f>'2 yr monthly cash flow'!D8</f>
        <v>8</v>
      </c>
      <c r="F15" s="637">
        <f>'2 yr monthly cash flow'!E8</f>
        <v>9</v>
      </c>
      <c r="G15" s="637">
        <f>'2 yr monthly cash flow'!F8</f>
        <v>10</v>
      </c>
      <c r="H15" s="637">
        <f>'2 yr monthly cash flow'!G8</f>
        <v>11</v>
      </c>
      <c r="I15" s="637">
        <f>'2 yr monthly cash flow'!H8</f>
        <v>12</v>
      </c>
      <c r="J15" s="637">
        <f>'2 yr monthly cash flow'!I8</f>
        <v>1</v>
      </c>
      <c r="K15" s="637">
        <f>'2 yr monthly cash flow'!J8</f>
        <v>2</v>
      </c>
      <c r="L15" s="637">
        <f>'2 yr monthly cash flow'!K8</f>
        <v>3</v>
      </c>
      <c r="M15" s="637">
        <f>'2 yr monthly cash flow'!L8</f>
        <v>4</v>
      </c>
      <c r="N15" s="832">
        <f>'2 yr monthly cash flow'!M8</f>
        <v>5</v>
      </c>
      <c r="O15" s="831">
        <f>'2 yr monthly cash flow'!N8</f>
        <v>6</v>
      </c>
      <c r="P15" s="637">
        <f>'2 yr monthly cash flow'!O8</f>
        <v>7</v>
      </c>
      <c r="Q15" s="637">
        <f>'2 yr monthly cash flow'!P8</f>
        <v>8</v>
      </c>
      <c r="R15" s="637">
        <f>'2 yr monthly cash flow'!Q8</f>
        <v>9</v>
      </c>
      <c r="S15" s="637">
        <f>'2 yr monthly cash flow'!R8</f>
        <v>10</v>
      </c>
      <c r="T15" s="637">
        <f>'2 yr monthly cash flow'!S8</f>
        <v>11</v>
      </c>
      <c r="U15" s="637">
        <f>'2 yr monthly cash flow'!T8</f>
        <v>12</v>
      </c>
      <c r="V15" s="637">
        <f>'2 yr monthly cash flow'!U8</f>
        <v>1</v>
      </c>
      <c r="W15" s="637">
        <f>'2 yr monthly cash flow'!V8</f>
        <v>2</v>
      </c>
      <c r="X15" s="637">
        <f>'2 yr monthly cash flow'!W8</f>
        <v>3</v>
      </c>
      <c r="Y15" s="637">
        <f>'2 yr monthly cash flow'!X8</f>
        <v>4</v>
      </c>
      <c r="Z15" s="637">
        <f>'2 yr monthly cash flow'!Y8</f>
        <v>5</v>
      </c>
      <c r="AA15" s="273"/>
      <c r="AB15" s="273"/>
      <c r="AC15" s="251"/>
      <c r="AD15" s="251"/>
    </row>
    <row r="16" spans="1:30" s="272" customFormat="1" ht="12" customHeight="1">
      <c r="A16" s="1156" t="s">
        <v>64</v>
      </c>
      <c r="B16" s="1150"/>
      <c r="C16" s="1151"/>
      <c r="D16" s="1152"/>
      <c r="E16" s="1153"/>
      <c r="F16" s="1153"/>
      <c r="G16" s="1153"/>
      <c r="H16" s="1153"/>
      <c r="I16" s="1153"/>
      <c r="J16" s="1153"/>
      <c r="K16" s="1153"/>
      <c r="L16" s="1153"/>
      <c r="M16" s="1153"/>
      <c r="N16" s="1154"/>
      <c r="O16" s="1152"/>
      <c r="P16" s="1153"/>
      <c r="Q16" s="1153"/>
      <c r="R16" s="1153"/>
      <c r="S16" s="1153"/>
      <c r="T16" s="1153"/>
      <c r="U16" s="1153"/>
      <c r="V16" s="1153"/>
      <c r="W16" s="1153"/>
      <c r="X16" s="1153"/>
      <c r="Y16" s="1153"/>
      <c r="Z16" s="1153"/>
      <c r="AA16" s="1155"/>
      <c r="AB16" s="1155"/>
    </row>
    <row r="17" spans="1:28" s="1048" customFormat="1" ht="12" customHeight="1">
      <c r="A17" s="1144" t="s">
        <v>848</v>
      </c>
      <c r="B17" s="888"/>
      <c r="C17" s="834"/>
      <c r="D17" s="835"/>
      <c r="E17" s="835"/>
      <c r="F17" s="835"/>
      <c r="G17" s="835"/>
      <c r="H17" s="835"/>
      <c r="I17" s="835"/>
      <c r="J17" s="835"/>
      <c r="K17" s="835"/>
      <c r="L17" s="835"/>
      <c r="M17" s="835"/>
      <c r="N17" s="905"/>
      <c r="O17" s="835"/>
      <c r="P17" s="835"/>
      <c r="Q17" s="835"/>
      <c r="R17" s="835"/>
      <c r="S17" s="835"/>
      <c r="T17" s="835"/>
      <c r="U17" s="835"/>
      <c r="V17" s="835"/>
      <c r="W17" s="835"/>
      <c r="X17" s="835"/>
      <c r="Y17" s="835"/>
      <c r="Z17" s="835"/>
      <c r="AA17" s="15"/>
      <c r="AB17" s="15"/>
    </row>
    <row r="18" spans="1:28" s="1048" customFormat="1" ht="12" customHeight="1">
      <c r="A18" s="1144" t="s">
        <v>849</v>
      </c>
      <c r="B18" s="888"/>
      <c r="C18" s="834"/>
      <c r="D18" s="835"/>
      <c r="E18" s="835"/>
      <c r="F18" s="835"/>
      <c r="G18" s="835"/>
      <c r="H18" s="835"/>
      <c r="I18" s="835"/>
      <c r="J18" s="835"/>
      <c r="K18" s="835"/>
      <c r="L18" s="835"/>
      <c r="M18" s="835"/>
      <c r="N18" s="905"/>
      <c r="O18" s="835"/>
      <c r="P18" s="835"/>
      <c r="Q18" s="835"/>
      <c r="R18" s="835"/>
      <c r="S18" s="835"/>
      <c r="T18" s="835"/>
      <c r="U18" s="835"/>
      <c r="V18" s="835"/>
      <c r="W18" s="835"/>
      <c r="X18" s="835"/>
      <c r="Y18" s="835"/>
      <c r="Z18" s="835"/>
      <c r="AA18" s="15"/>
      <c r="AB18" s="15"/>
    </row>
    <row r="19" spans="1:28" s="1048" customFormat="1" ht="12" customHeight="1">
      <c r="A19" s="1144" t="s">
        <v>850</v>
      </c>
      <c r="B19" s="888"/>
      <c r="C19" s="834"/>
      <c r="D19" s="835"/>
      <c r="E19" s="835"/>
      <c r="F19" s="835"/>
      <c r="G19" s="835"/>
      <c r="H19" s="835"/>
      <c r="I19" s="835"/>
      <c r="J19" s="835"/>
      <c r="K19" s="835"/>
      <c r="L19" s="835"/>
      <c r="M19" s="835"/>
      <c r="N19" s="905"/>
      <c r="O19" s="835"/>
      <c r="P19" s="835"/>
      <c r="Q19" s="835"/>
      <c r="R19" s="835"/>
      <c r="S19" s="835"/>
      <c r="T19" s="835"/>
      <c r="U19" s="835"/>
      <c r="V19" s="835"/>
      <c r="W19" s="835"/>
      <c r="X19" s="835"/>
      <c r="Y19" s="835"/>
      <c r="Z19" s="835"/>
      <c r="AA19" s="15"/>
      <c r="AB19" s="15"/>
    </row>
    <row r="20" spans="1:28" s="272" customFormat="1" ht="12" customHeight="1">
      <c r="A20" s="1163" t="s">
        <v>852</v>
      </c>
      <c r="B20" s="1164"/>
      <c r="C20" s="1165">
        <f>SUM(C17:C19)</f>
        <v>0</v>
      </c>
      <c r="D20" s="1165">
        <f t="shared" ref="D20:Z20" si="2">SUM(D17:D19)</f>
        <v>0</v>
      </c>
      <c r="E20" s="1165">
        <f t="shared" si="2"/>
        <v>0</v>
      </c>
      <c r="F20" s="1165">
        <f t="shared" si="2"/>
        <v>0</v>
      </c>
      <c r="G20" s="1165">
        <f t="shared" si="2"/>
        <v>0</v>
      </c>
      <c r="H20" s="1165">
        <f t="shared" si="2"/>
        <v>0</v>
      </c>
      <c r="I20" s="1165">
        <f t="shared" si="2"/>
        <v>0</v>
      </c>
      <c r="J20" s="1165">
        <f t="shared" si="2"/>
        <v>0</v>
      </c>
      <c r="K20" s="1165">
        <f t="shared" si="2"/>
        <v>0</v>
      </c>
      <c r="L20" s="1165">
        <f t="shared" si="2"/>
        <v>0</v>
      </c>
      <c r="M20" s="1165">
        <f t="shared" si="2"/>
        <v>0</v>
      </c>
      <c r="N20" s="1165">
        <f t="shared" si="2"/>
        <v>0</v>
      </c>
      <c r="O20" s="1165">
        <f t="shared" si="2"/>
        <v>0</v>
      </c>
      <c r="P20" s="1165">
        <f t="shared" si="2"/>
        <v>0</v>
      </c>
      <c r="Q20" s="1165">
        <f t="shared" si="2"/>
        <v>0</v>
      </c>
      <c r="R20" s="1165">
        <f t="shared" si="2"/>
        <v>0</v>
      </c>
      <c r="S20" s="1165">
        <f t="shared" si="2"/>
        <v>0</v>
      </c>
      <c r="T20" s="1165">
        <f t="shared" si="2"/>
        <v>0</v>
      </c>
      <c r="U20" s="1165">
        <f t="shared" si="2"/>
        <v>0</v>
      </c>
      <c r="V20" s="1165">
        <f t="shared" si="2"/>
        <v>0</v>
      </c>
      <c r="W20" s="1165">
        <f t="shared" si="2"/>
        <v>0</v>
      </c>
      <c r="X20" s="1165">
        <f t="shared" si="2"/>
        <v>0</v>
      </c>
      <c r="Y20" s="1165">
        <f t="shared" si="2"/>
        <v>0</v>
      </c>
      <c r="Z20" s="1165">
        <f t="shared" si="2"/>
        <v>0</v>
      </c>
      <c r="AA20" s="1155"/>
      <c r="AB20" s="1155"/>
    </row>
    <row r="21" spans="1:28" ht="12" customHeight="1">
      <c r="A21" s="1144" t="s">
        <v>853</v>
      </c>
      <c r="B21" s="888"/>
      <c r="C21" s="834"/>
      <c r="D21" s="835"/>
      <c r="E21" s="517"/>
      <c r="F21" s="517"/>
      <c r="G21" s="517"/>
      <c r="H21" s="517"/>
      <c r="I21" s="517"/>
      <c r="J21" s="517"/>
      <c r="K21" s="517"/>
      <c r="L21" s="517"/>
      <c r="M21" s="517"/>
      <c r="N21" s="837"/>
      <c r="O21" s="835"/>
      <c r="P21" s="517"/>
      <c r="Q21" s="517"/>
      <c r="R21" s="517"/>
      <c r="S21" s="517"/>
      <c r="T21" s="517"/>
      <c r="U21" s="517"/>
      <c r="V21" s="517"/>
      <c r="W21" s="517"/>
      <c r="X21" s="517"/>
      <c r="Y21" s="517"/>
      <c r="Z21" s="517"/>
      <c r="AA21" s="15"/>
      <c r="AB21" s="15"/>
    </row>
    <row r="22" spans="1:28" ht="12" customHeight="1">
      <c r="A22" s="888" t="s">
        <v>68</v>
      </c>
      <c r="B22" s="888"/>
      <c r="C22" s="834"/>
      <c r="D22" s="835"/>
      <c r="E22" s="517"/>
      <c r="F22" s="517"/>
      <c r="G22" s="517"/>
      <c r="H22" s="517"/>
      <c r="I22" s="517"/>
      <c r="J22" s="517"/>
      <c r="K22" s="517"/>
      <c r="L22" s="517"/>
      <c r="M22" s="517"/>
      <c r="N22" s="837"/>
      <c r="O22" s="835"/>
      <c r="P22" s="517"/>
      <c r="Q22" s="517"/>
      <c r="R22" s="517"/>
      <c r="S22" s="517"/>
      <c r="T22" s="517"/>
      <c r="U22" s="517"/>
      <c r="V22" s="517"/>
      <c r="W22" s="517"/>
      <c r="X22" s="517"/>
      <c r="Y22" s="517"/>
      <c r="Z22" s="517"/>
      <c r="AA22" s="15"/>
      <c r="AB22" s="15"/>
    </row>
    <row r="23" spans="1:28" ht="12" customHeight="1">
      <c r="A23" s="888" t="s">
        <v>69</v>
      </c>
      <c r="B23" s="888"/>
      <c r="C23" s="834"/>
      <c r="D23" s="835"/>
      <c r="E23" s="517"/>
      <c r="F23" s="517"/>
      <c r="G23" s="517"/>
      <c r="H23" s="517"/>
      <c r="I23" s="517"/>
      <c r="J23" s="517"/>
      <c r="K23" s="517"/>
      <c r="L23" s="517"/>
      <c r="M23" s="517"/>
      <c r="N23" s="837"/>
      <c r="O23" s="835"/>
      <c r="P23" s="517"/>
      <c r="Q23" s="517"/>
      <c r="R23" s="517"/>
      <c r="S23" s="517"/>
      <c r="T23" s="517"/>
      <c r="U23" s="517"/>
      <c r="V23" s="517"/>
      <c r="W23" s="517"/>
      <c r="X23" s="517"/>
      <c r="Y23" s="517"/>
      <c r="Z23" s="517"/>
      <c r="AA23" s="15"/>
      <c r="AB23" s="15"/>
    </row>
    <row r="24" spans="1:28" ht="12" customHeight="1">
      <c r="A24" s="888" t="s">
        <v>658</v>
      </c>
      <c r="B24" s="888"/>
      <c r="C24" s="834"/>
      <c r="D24" s="835"/>
      <c r="E24" s="517"/>
      <c r="F24" s="517"/>
      <c r="G24" s="517"/>
      <c r="H24" s="517"/>
      <c r="I24" s="517"/>
      <c r="J24" s="517"/>
      <c r="K24" s="517"/>
      <c r="L24" s="517"/>
      <c r="M24" s="517"/>
      <c r="N24" s="837"/>
      <c r="O24" s="835"/>
      <c r="P24" s="517"/>
      <c r="Q24" s="517"/>
      <c r="R24" s="517"/>
      <c r="S24" s="517"/>
      <c r="T24" s="517"/>
      <c r="U24" s="517"/>
      <c r="V24" s="517"/>
      <c r="W24" s="517"/>
      <c r="X24" s="517"/>
      <c r="Y24" s="517"/>
      <c r="Z24" s="517"/>
      <c r="AA24" s="15"/>
      <c r="AB24" s="15"/>
    </row>
    <row r="25" spans="1:28" s="993" customFormat="1" ht="12" customHeight="1">
      <c r="A25" s="1156" t="s">
        <v>72</v>
      </c>
      <c r="B25" s="1156"/>
      <c r="C25" s="1157"/>
      <c r="D25" s="1158"/>
      <c r="E25" s="1159"/>
      <c r="F25" s="1159"/>
      <c r="G25" s="1159"/>
      <c r="H25" s="1159"/>
      <c r="I25" s="1159"/>
      <c r="J25" s="1159"/>
      <c r="K25" s="1159"/>
      <c r="L25" s="1159"/>
      <c r="M25" s="1159"/>
      <c r="N25" s="1160"/>
      <c r="O25" s="1158"/>
      <c r="P25" s="1159"/>
      <c r="Q25" s="1159"/>
      <c r="R25" s="1159"/>
      <c r="S25" s="1159"/>
      <c r="T25" s="1159"/>
      <c r="U25" s="1159"/>
      <c r="V25" s="1159"/>
      <c r="W25" s="1159"/>
      <c r="X25" s="1159"/>
      <c r="Y25" s="1159"/>
      <c r="Z25" s="1159"/>
      <c r="AA25" s="1161"/>
      <c r="AB25" s="1161"/>
    </row>
    <row r="26" spans="1:28" s="1048" customFormat="1" ht="12" customHeight="1">
      <c r="A26" s="1144" t="s">
        <v>825</v>
      </c>
      <c r="B26" s="888"/>
      <c r="C26" s="834"/>
      <c r="D26" s="835"/>
      <c r="E26" s="517"/>
      <c r="F26" s="517"/>
      <c r="G26" s="517"/>
      <c r="H26" s="517"/>
      <c r="I26" s="517"/>
      <c r="J26" s="517"/>
      <c r="K26" s="517"/>
      <c r="L26" s="517"/>
      <c r="M26" s="517"/>
      <c r="N26" s="837"/>
      <c r="O26" s="983"/>
      <c r="P26" s="517"/>
      <c r="Q26" s="517"/>
      <c r="R26" s="517"/>
      <c r="S26" s="517"/>
      <c r="T26" s="517"/>
      <c r="U26" s="517"/>
      <c r="V26" s="517"/>
      <c r="W26" s="517"/>
      <c r="X26" s="517"/>
      <c r="Y26" s="517"/>
      <c r="Z26" s="517"/>
      <c r="AA26" s="15"/>
      <c r="AB26" s="15"/>
    </row>
    <row r="27" spans="1:28" s="1048" customFormat="1" ht="12" customHeight="1">
      <c r="A27" s="1144" t="s">
        <v>826</v>
      </c>
      <c r="B27" s="888"/>
      <c r="C27" s="834"/>
      <c r="D27" s="835"/>
      <c r="E27" s="517"/>
      <c r="F27" s="517"/>
      <c r="G27" s="517"/>
      <c r="H27" s="517"/>
      <c r="I27" s="517"/>
      <c r="J27" s="517"/>
      <c r="K27" s="517"/>
      <c r="L27" s="517"/>
      <c r="M27" s="517"/>
      <c r="N27" s="837"/>
      <c r="O27" s="983"/>
      <c r="P27" s="517"/>
      <c r="Q27" s="517"/>
      <c r="R27" s="517"/>
      <c r="S27" s="517"/>
      <c r="T27" s="517"/>
      <c r="U27" s="517"/>
      <c r="V27" s="517"/>
      <c r="W27" s="517"/>
      <c r="X27" s="517"/>
      <c r="Y27" s="517"/>
      <c r="Z27" s="517"/>
      <c r="AA27" s="15"/>
      <c r="AB27" s="15"/>
    </row>
    <row r="28" spans="1:28" s="1048" customFormat="1" ht="12" customHeight="1">
      <c r="A28" s="1144" t="s">
        <v>850</v>
      </c>
      <c r="B28" s="888"/>
      <c r="C28" s="834"/>
      <c r="D28" s="835"/>
      <c r="E28" s="517"/>
      <c r="F28" s="517"/>
      <c r="G28" s="517"/>
      <c r="H28" s="517"/>
      <c r="I28" s="517"/>
      <c r="J28" s="517"/>
      <c r="K28" s="517"/>
      <c r="L28" s="517"/>
      <c r="M28" s="517"/>
      <c r="N28" s="837"/>
      <c r="O28" s="983"/>
      <c r="P28" s="517"/>
      <c r="Q28" s="517"/>
      <c r="R28" s="517"/>
      <c r="S28" s="517"/>
      <c r="T28" s="517"/>
      <c r="U28" s="517"/>
      <c r="V28" s="517"/>
      <c r="W28" s="517"/>
      <c r="X28" s="517"/>
      <c r="Y28" s="517"/>
      <c r="Z28" s="517"/>
      <c r="AA28" s="15"/>
      <c r="AB28" s="15"/>
    </row>
    <row r="29" spans="1:28" s="272" customFormat="1" ht="12" customHeight="1">
      <c r="A29" s="1163" t="s">
        <v>851</v>
      </c>
      <c r="B29" s="1164"/>
      <c r="C29" s="1165">
        <f>SUM(C26:C28)</f>
        <v>0</v>
      </c>
      <c r="D29" s="1165">
        <f t="shared" ref="D29:Z29" si="3">SUM(D26:D28)</f>
        <v>0</v>
      </c>
      <c r="E29" s="1165">
        <f t="shared" si="3"/>
        <v>0</v>
      </c>
      <c r="F29" s="1165">
        <f t="shared" si="3"/>
        <v>0</v>
      </c>
      <c r="G29" s="1165">
        <f t="shared" si="3"/>
        <v>0</v>
      </c>
      <c r="H29" s="1165">
        <f t="shared" si="3"/>
        <v>0</v>
      </c>
      <c r="I29" s="1165">
        <f t="shared" si="3"/>
        <v>0</v>
      </c>
      <c r="J29" s="1165">
        <f t="shared" si="3"/>
        <v>0</v>
      </c>
      <c r="K29" s="1165">
        <f t="shared" si="3"/>
        <v>0</v>
      </c>
      <c r="L29" s="1165">
        <f t="shared" si="3"/>
        <v>0</v>
      </c>
      <c r="M29" s="1165">
        <f t="shared" si="3"/>
        <v>0</v>
      </c>
      <c r="N29" s="1165">
        <f t="shared" si="3"/>
        <v>0</v>
      </c>
      <c r="O29" s="1165">
        <f t="shared" si="3"/>
        <v>0</v>
      </c>
      <c r="P29" s="1165">
        <f t="shared" si="3"/>
        <v>0</v>
      </c>
      <c r="Q29" s="1165">
        <f t="shared" si="3"/>
        <v>0</v>
      </c>
      <c r="R29" s="1165">
        <f t="shared" si="3"/>
        <v>0</v>
      </c>
      <c r="S29" s="1165">
        <f t="shared" si="3"/>
        <v>0</v>
      </c>
      <c r="T29" s="1165">
        <f t="shared" si="3"/>
        <v>0</v>
      </c>
      <c r="U29" s="1165">
        <f t="shared" si="3"/>
        <v>0</v>
      </c>
      <c r="V29" s="1165">
        <f t="shared" si="3"/>
        <v>0</v>
      </c>
      <c r="W29" s="1165">
        <f t="shared" si="3"/>
        <v>0</v>
      </c>
      <c r="X29" s="1165">
        <f t="shared" si="3"/>
        <v>0</v>
      </c>
      <c r="Y29" s="1165">
        <f t="shared" si="3"/>
        <v>0</v>
      </c>
      <c r="Z29" s="1165">
        <f t="shared" si="3"/>
        <v>0</v>
      </c>
      <c r="AA29" s="1155"/>
      <c r="AB29" s="1155"/>
    </row>
    <row r="30" spans="1:28" ht="18.899999999999999" customHeight="1">
      <c r="A30" s="1162" t="s">
        <v>727</v>
      </c>
      <c r="B30" s="985"/>
      <c r="C30" s="906" t="str">
        <f>IFERROR('Startup Costs'!J9, 0)</f>
        <v/>
      </c>
      <c r="D30" s="907" t="str">
        <f t="shared" ref="D30:Z30" si="4">C30</f>
        <v/>
      </c>
      <c r="E30" s="908" t="str">
        <f t="shared" si="4"/>
        <v/>
      </c>
      <c r="F30" s="908" t="str">
        <f t="shared" si="4"/>
        <v/>
      </c>
      <c r="G30" s="908" t="str">
        <f t="shared" si="4"/>
        <v/>
      </c>
      <c r="H30" s="908" t="str">
        <f t="shared" si="4"/>
        <v/>
      </c>
      <c r="I30" s="908" t="str">
        <f t="shared" si="4"/>
        <v/>
      </c>
      <c r="J30" s="908" t="str">
        <f t="shared" si="4"/>
        <v/>
      </c>
      <c r="K30" s="908" t="str">
        <f t="shared" si="4"/>
        <v/>
      </c>
      <c r="L30" s="908" t="str">
        <f t="shared" si="4"/>
        <v/>
      </c>
      <c r="M30" s="908" t="str">
        <f t="shared" si="4"/>
        <v/>
      </c>
      <c r="N30" s="909" t="str">
        <f t="shared" si="4"/>
        <v/>
      </c>
      <c r="O30" s="986" t="str">
        <f t="shared" si="4"/>
        <v/>
      </c>
      <c r="P30" s="908" t="str">
        <f t="shared" si="4"/>
        <v/>
      </c>
      <c r="Q30" s="908" t="str">
        <f t="shared" si="4"/>
        <v/>
      </c>
      <c r="R30" s="908" t="str">
        <f t="shared" si="4"/>
        <v/>
      </c>
      <c r="S30" s="908" t="str">
        <f t="shared" si="4"/>
        <v/>
      </c>
      <c r="T30" s="908" t="str">
        <f t="shared" si="4"/>
        <v/>
      </c>
      <c r="U30" s="908" t="str">
        <f t="shared" si="4"/>
        <v/>
      </c>
      <c r="V30" s="908" t="str">
        <f t="shared" si="4"/>
        <v/>
      </c>
      <c r="W30" s="908" t="str">
        <f t="shared" si="4"/>
        <v/>
      </c>
      <c r="X30" s="908" t="str">
        <f t="shared" si="4"/>
        <v/>
      </c>
      <c r="Y30" s="908" t="str">
        <f t="shared" si="4"/>
        <v/>
      </c>
      <c r="Z30" s="908" t="str">
        <f t="shared" si="4"/>
        <v/>
      </c>
      <c r="AA30" s="15"/>
      <c r="AB30" s="15"/>
    </row>
    <row r="31" spans="1:28" ht="12" customHeight="1">
      <c r="A31" s="1166" t="s">
        <v>289</v>
      </c>
      <c r="B31" s="1166"/>
      <c r="C31" s="1167" t="e">
        <f>C30+C29+C24+C23+C22+C21+C20</f>
        <v>#VALUE!</v>
      </c>
      <c r="D31" s="1167" t="e">
        <f t="shared" ref="D31:Z31" si="5">D30+D29+D24+D23+D22+D21+D20</f>
        <v>#VALUE!</v>
      </c>
      <c r="E31" s="1167" t="e">
        <f t="shared" si="5"/>
        <v>#VALUE!</v>
      </c>
      <c r="F31" s="1167" t="e">
        <f t="shared" si="5"/>
        <v>#VALUE!</v>
      </c>
      <c r="G31" s="1167" t="e">
        <f t="shared" si="5"/>
        <v>#VALUE!</v>
      </c>
      <c r="H31" s="1167" t="e">
        <f t="shared" si="5"/>
        <v>#VALUE!</v>
      </c>
      <c r="I31" s="1167" t="e">
        <f t="shared" si="5"/>
        <v>#VALUE!</v>
      </c>
      <c r="J31" s="1167" t="e">
        <f t="shared" si="5"/>
        <v>#VALUE!</v>
      </c>
      <c r="K31" s="1167" t="e">
        <f t="shared" si="5"/>
        <v>#VALUE!</v>
      </c>
      <c r="L31" s="1167" t="e">
        <f t="shared" si="5"/>
        <v>#VALUE!</v>
      </c>
      <c r="M31" s="1167" t="e">
        <f t="shared" si="5"/>
        <v>#VALUE!</v>
      </c>
      <c r="N31" s="1167" t="e">
        <f t="shared" si="5"/>
        <v>#VALUE!</v>
      </c>
      <c r="O31" s="1167" t="e">
        <f t="shared" si="5"/>
        <v>#VALUE!</v>
      </c>
      <c r="P31" s="1167" t="e">
        <f t="shared" si="5"/>
        <v>#VALUE!</v>
      </c>
      <c r="Q31" s="1167" t="e">
        <f t="shared" si="5"/>
        <v>#VALUE!</v>
      </c>
      <c r="R31" s="1167" t="e">
        <f t="shared" si="5"/>
        <v>#VALUE!</v>
      </c>
      <c r="S31" s="1167" t="e">
        <f t="shared" si="5"/>
        <v>#VALUE!</v>
      </c>
      <c r="T31" s="1167" t="e">
        <f t="shared" si="5"/>
        <v>#VALUE!</v>
      </c>
      <c r="U31" s="1167" t="e">
        <f t="shared" si="5"/>
        <v>#VALUE!</v>
      </c>
      <c r="V31" s="1167" t="e">
        <f t="shared" si="5"/>
        <v>#VALUE!</v>
      </c>
      <c r="W31" s="1167" t="e">
        <f t="shared" si="5"/>
        <v>#VALUE!</v>
      </c>
      <c r="X31" s="1167" t="e">
        <f t="shared" si="5"/>
        <v>#VALUE!</v>
      </c>
      <c r="Y31" s="1167" t="e">
        <f t="shared" si="5"/>
        <v>#VALUE!</v>
      </c>
      <c r="Z31" s="1167" t="e">
        <f t="shared" si="5"/>
        <v>#VALUE!</v>
      </c>
    </row>
    <row r="32" spans="1:28" ht="12" customHeight="1">
      <c r="B32" s="524"/>
      <c r="N32" s="808"/>
    </row>
    <row r="33" spans="2:2" ht="12" customHeight="1"/>
    <row r="34" spans="2:2" ht="12" customHeight="1"/>
    <row r="35" spans="2:2" ht="12" customHeight="1"/>
    <row r="36" spans="2:2" ht="12" customHeight="1"/>
    <row r="37" spans="2:2" ht="12" customHeight="1"/>
    <row r="38" spans="2:2" ht="12" customHeight="1">
      <c r="B38" s="524"/>
    </row>
    <row r="39" spans="2:2" ht="12" customHeight="1">
      <c r="B39" s="524"/>
    </row>
    <row r="40" spans="2:2" ht="12" customHeight="1">
      <c r="B40" s="524"/>
    </row>
    <row r="41" spans="2:2" ht="12" customHeight="1">
      <c r="B41" s="524"/>
    </row>
    <row r="42" spans="2:2" ht="12" customHeight="1">
      <c r="B42" s="524"/>
    </row>
    <row r="43" spans="2:2" ht="12" customHeight="1">
      <c r="B43" s="524"/>
    </row>
    <row r="44" spans="2:2" ht="12" customHeight="1">
      <c r="B44" s="524"/>
    </row>
    <row r="45" spans="2:2" ht="12" customHeight="1">
      <c r="B45" s="524"/>
    </row>
    <row r="46" spans="2:2" ht="12" customHeight="1">
      <c r="B46" s="524"/>
    </row>
    <row r="47" spans="2:2" ht="12" customHeight="1">
      <c r="B47" s="524"/>
    </row>
    <row r="48" spans="2:2" ht="12" customHeight="1">
      <c r="B48" s="524"/>
    </row>
    <row r="49" spans="2:2" ht="12" customHeight="1">
      <c r="B49" s="524"/>
    </row>
    <row r="50" spans="2:2" ht="12" customHeight="1">
      <c r="B50" s="524"/>
    </row>
    <row r="51" spans="2:2" ht="12" customHeight="1">
      <c r="B51" s="524"/>
    </row>
    <row r="52" spans="2:2" ht="12" customHeight="1">
      <c r="B52" s="524"/>
    </row>
    <row r="53" spans="2:2" ht="12" customHeight="1">
      <c r="B53" s="524"/>
    </row>
    <row r="54" spans="2:2" ht="12" customHeight="1">
      <c r="B54" s="524"/>
    </row>
    <row r="55" spans="2:2" ht="12" customHeight="1">
      <c r="B55" s="524"/>
    </row>
    <row r="56" spans="2:2" ht="12" customHeight="1">
      <c r="B56" s="524"/>
    </row>
    <row r="57" spans="2:2" ht="12" customHeight="1">
      <c r="B57" s="524"/>
    </row>
    <row r="58" spans="2:2" ht="12" customHeight="1">
      <c r="B58" s="524"/>
    </row>
    <row r="59" spans="2:2" ht="12" customHeight="1">
      <c r="B59" s="524"/>
    </row>
    <row r="60" spans="2:2" ht="12" customHeight="1">
      <c r="B60" s="524"/>
    </row>
    <row r="61" spans="2:2" ht="12" customHeight="1">
      <c r="B61" s="524"/>
    </row>
    <row r="62" spans="2:2" ht="12" customHeight="1">
      <c r="B62" s="524"/>
    </row>
    <row r="63" spans="2:2" ht="12" customHeight="1">
      <c r="B63" s="524"/>
    </row>
    <row r="64" spans="2:2" ht="12" customHeight="1">
      <c r="B64" s="524"/>
    </row>
    <row r="65" spans="2:2" ht="12" customHeight="1">
      <c r="B65" s="524"/>
    </row>
    <row r="66" spans="2:2" ht="12" customHeight="1">
      <c r="B66" s="524"/>
    </row>
    <row r="67" spans="2:2" ht="12" customHeight="1">
      <c r="B67" s="524"/>
    </row>
    <row r="68" spans="2:2" ht="12" customHeight="1">
      <c r="B68" s="524"/>
    </row>
    <row r="69" spans="2:2" ht="12" customHeight="1">
      <c r="B69" s="524"/>
    </row>
    <row r="70" spans="2:2" ht="12" customHeight="1">
      <c r="B70" s="524"/>
    </row>
    <row r="71" spans="2:2" ht="12" customHeight="1">
      <c r="B71" s="524"/>
    </row>
    <row r="72" spans="2:2" ht="12" customHeight="1">
      <c r="B72" s="524"/>
    </row>
    <row r="73" spans="2:2" ht="12" customHeight="1">
      <c r="B73" s="524"/>
    </row>
    <row r="74" spans="2:2" ht="12" customHeight="1">
      <c r="B74" s="524"/>
    </row>
    <row r="75" spans="2:2" ht="12" customHeight="1">
      <c r="B75" s="524"/>
    </row>
    <row r="76" spans="2:2" ht="12" customHeight="1">
      <c r="B76" s="524"/>
    </row>
    <row r="77" spans="2:2" ht="12" customHeight="1">
      <c r="B77" s="524"/>
    </row>
    <row r="78" spans="2:2" ht="12" customHeight="1">
      <c r="B78" s="524"/>
    </row>
    <row r="79" spans="2:2" ht="12" customHeight="1">
      <c r="B79" s="524"/>
    </row>
    <row r="80" spans="2:2" ht="12" customHeight="1">
      <c r="B80" s="524"/>
    </row>
    <row r="81" spans="2:2" ht="12" customHeight="1">
      <c r="B81" s="524"/>
    </row>
    <row r="82" spans="2:2" ht="12" customHeight="1">
      <c r="B82" s="524"/>
    </row>
    <row r="83" spans="2:2" ht="12" customHeight="1">
      <c r="B83" s="524"/>
    </row>
    <row r="84" spans="2:2" ht="12" customHeight="1">
      <c r="B84" s="524"/>
    </row>
    <row r="85" spans="2:2" ht="12" customHeight="1">
      <c r="B85" s="524"/>
    </row>
    <row r="86" spans="2:2" ht="12" customHeight="1">
      <c r="B86" s="524"/>
    </row>
    <row r="87" spans="2:2" ht="12" customHeight="1">
      <c r="B87" s="524"/>
    </row>
    <row r="88" spans="2:2" ht="12" customHeight="1">
      <c r="B88" s="524"/>
    </row>
    <row r="89" spans="2:2" ht="12" customHeight="1">
      <c r="B89" s="524"/>
    </row>
    <row r="90" spans="2:2" ht="12" customHeight="1">
      <c r="B90" s="524"/>
    </row>
    <row r="91" spans="2:2" ht="12" customHeight="1">
      <c r="B91" s="524"/>
    </row>
    <row r="92" spans="2:2" ht="12" customHeight="1">
      <c r="B92" s="524"/>
    </row>
    <row r="93" spans="2:2" ht="12" customHeight="1">
      <c r="B93" s="524"/>
    </row>
    <row r="94" spans="2:2" ht="12" customHeight="1">
      <c r="B94" s="524"/>
    </row>
    <row r="95" spans="2:2" ht="12" customHeight="1">
      <c r="B95" s="524"/>
    </row>
    <row r="96" spans="2:2" ht="12" customHeight="1">
      <c r="B96" s="524"/>
    </row>
    <row r="97" spans="2:2" ht="12" customHeight="1">
      <c r="B97" s="524"/>
    </row>
    <row r="98" spans="2:2" ht="12" customHeight="1">
      <c r="B98" s="524"/>
    </row>
    <row r="99" spans="2:2" ht="12" customHeight="1">
      <c r="B99" s="524"/>
    </row>
    <row r="100" spans="2:2" ht="12" customHeight="1">
      <c r="B100" s="524"/>
    </row>
    <row r="101" spans="2:2" ht="12" customHeight="1">
      <c r="B101" s="524"/>
    </row>
    <row r="102" spans="2:2" ht="12" customHeight="1">
      <c r="B102" s="524"/>
    </row>
    <row r="103" spans="2:2" ht="12" customHeight="1">
      <c r="B103" s="524"/>
    </row>
    <row r="104" spans="2:2" ht="12" customHeight="1">
      <c r="B104" s="524"/>
    </row>
    <row r="105" spans="2:2" ht="12" customHeight="1">
      <c r="B105" s="524"/>
    </row>
    <row r="106" spans="2:2" ht="12" customHeight="1">
      <c r="B106" s="524"/>
    </row>
    <row r="107" spans="2:2" ht="12" customHeight="1">
      <c r="B107" s="524"/>
    </row>
    <row r="108" spans="2:2" ht="12" customHeight="1">
      <c r="B108" s="524"/>
    </row>
    <row r="109" spans="2:2" ht="12" customHeight="1">
      <c r="B109" s="524"/>
    </row>
    <row r="110" spans="2:2" ht="12" customHeight="1">
      <c r="B110" s="524"/>
    </row>
    <row r="111" spans="2:2" ht="12" customHeight="1">
      <c r="B111" s="524"/>
    </row>
    <row r="112" spans="2:2" ht="12" customHeight="1">
      <c r="B112" s="524"/>
    </row>
    <row r="113" spans="2:2" ht="12" customHeight="1">
      <c r="B113" s="524"/>
    </row>
    <row r="114" spans="2:2" ht="12" customHeight="1">
      <c r="B114" s="524"/>
    </row>
    <row r="115" spans="2:2" ht="12" customHeight="1">
      <c r="B115" s="524"/>
    </row>
    <row r="116" spans="2:2" ht="12" customHeight="1">
      <c r="B116" s="524"/>
    </row>
    <row r="117" spans="2:2" ht="12" customHeight="1">
      <c r="B117" s="524"/>
    </row>
    <row r="118" spans="2:2" ht="12" customHeight="1">
      <c r="B118" s="524"/>
    </row>
    <row r="119" spans="2:2" ht="12" customHeight="1">
      <c r="B119" s="524"/>
    </row>
    <row r="120" spans="2:2" ht="12" customHeight="1">
      <c r="B120" s="524"/>
    </row>
    <row r="121" spans="2:2" ht="12" customHeight="1">
      <c r="B121" s="524"/>
    </row>
    <row r="122" spans="2:2" ht="12" customHeight="1">
      <c r="B122" s="524"/>
    </row>
    <row r="123" spans="2:2" ht="12" customHeight="1">
      <c r="B123" s="524"/>
    </row>
    <row r="124" spans="2:2" ht="12" customHeight="1">
      <c r="B124" s="524"/>
    </row>
    <row r="125" spans="2:2" ht="12" customHeight="1">
      <c r="B125" s="524"/>
    </row>
    <row r="126" spans="2:2" ht="12" customHeight="1">
      <c r="B126" s="524"/>
    </row>
    <row r="127" spans="2:2" ht="12" customHeight="1">
      <c r="B127" s="524"/>
    </row>
    <row r="128" spans="2:2" ht="12" customHeight="1">
      <c r="B128" s="524"/>
    </row>
    <row r="129" spans="2:2" ht="12" customHeight="1">
      <c r="B129" s="524"/>
    </row>
    <row r="130" spans="2:2" ht="12" customHeight="1">
      <c r="B130" s="524"/>
    </row>
    <row r="131" spans="2:2" ht="12" customHeight="1">
      <c r="B131" s="524"/>
    </row>
    <row r="132" spans="2:2" ht="12" customHeight="1">
      <c r="B132" s="524"/>
    </row>
    <row r="133" spans="2:2" ht="12" customHeight="1">
      <c r="B133" s="524"/>
    </row>
    <row r="134" spans="2:2" ht="12" customHeight="1">
      <c r="B134" s="524"/>
    </row>
    <row r="135" spans="2:2" ht="12" customHeight="1">
      <c r="B135" s="524"/>
    </row>
    <row r="136" spans="2:2" ht="12" customHeight="1">
      <c r="B136" s="524"/>
    </row>
    <row r="137" spans="2:2" ht="12" customHeight="1">
      <c r="B137" s="524"/>
    </row>
    <row r="138" spans="2:2" ht="12" customHeight="1">
      <c r="B138" s="524"/>
    </row>
    <row r="139" spans="2:2" ht="12" customHeight="1">
      <c r="B139" s="524"/>
    </row>
    <row r="140" spans="2:2" ht="12" customHeight="1">
      <c r="B140" s="524"/>
    </row>
    <row r="141" spans="2:2" ht="12" customHeight="1">
      <c r="B141" s="524"/>
    </row>
    <row r="142" spans="2:2" ht="12" customHeight="1">
      <c r="B142" s="524"/>
    </row>
    <row r="143" spans="2:2" ht="12" customHeight="1">
      <c r="B143" s="524"/>
    </row>
    <row r="144" spans="2:2" ht="12" customHeight="1">
      <c r="B144" s="524"/>
    </row>
    <row r="145" spans="2:2" ht="12" customHeight="1">
      <c r="B145" s="524"/>
    </row>
    <row r="146" spans="2:2" ht="12" customHeight="1">
      <c r="B146" s="524"/>
    </row>
    <row r="147" spans="2:2" ht="12" customHeight="1">
      <c r="B147" s="524"/>
    </row>
    <row r="148" spans="2:2" ht="12" customHeight="1">
      <c r="B148" s="524"/>
    </row>
    <row r="149" spans="2:2" ht="12" customHeight="1">
      <c r="B149" s="524"/>
    </row>
    <row r="150" spans="2:2" ht="12" customHeight="1">
      <c r="B150" s="524"/>
    </row>
    <row r="151" spans="2:2" ht="12" customHeight="1">
      <c r="B151" s="524"/>
    </row>
    <row r="152" spans="2:2" ht="12" customHeight="1">
      <c r="B152" s="524"/>
    </row>
    <row r="153" spans="2:2" ht="12" customHeight="1">
      <c r="B153" s="524"/>
    </row>
    <row r="154" spans="2:2" ht="12" customHeight="1">
      <c r="B154" s="524"/>
    </row>
    <row r="155" spans="2:2" ht="12" customHeight="1">
      <c r="B155" s="524"/>
    </row>
    <row r="156" spans="2:2" ht="12" customHeight="1">
      <c r="B156" s="524"/>
    </row>
    <row r="157" spans="2:2" ht="12" customHeight="1">
      <c r="B157" s="524"/>
    </row>
    <row r="158" spans="2:2" ht="12" customHeight="1">
      <c r="B158" s="524"/>
    </row>
    <row r="159" spans="2:2" ht="12" customHeight="1">
      <c r="B159" s="524"/>
    </row>
    <row r="160" spans="2:2" ht="12" customHeight="1">
      <c r="B160" s="524"/>
    </row>
    <row r="161" spans="2:2" ht="12" customHeight="1">
      <c r="B161" s="524"/>
    </row>
    <row r="162" spans="2:2" ht="12" customHeight="1">
      <c r="B162" s="524"/>
    </row>
    <row r="163" spans="2:2" ht="12" customHeight="1">
      <c r="B163" s="524"/>
    </row>
    <row r="164" spans="2:2" ht="12" customHeight="1">
      <c r="B164" s="524"/>
    </row>
    <row r="165" spans="2:2" ht="12" customHeight="1">
      <c r="B165" s="524"/>
    </row>
    <row r="166" spans="2:2" ht="12" customHeight="1">
      <c r="B166" s="524"/>
    </row>
    <row r="167" spans="2:2" ht="12" customHeight="1">
      <c r="B167" s="524"/>
    </row>
    <row r="168" spans="2:2" ht="12" customHeight="1">
      <c r="B168" s="524"/>
    </row>
    <row r="169" spans="2:2" ht="12" customHeight="1">
      <c r="B169" s="524"/>
    </row>
    <row r="170" spans="2:2" ht="12" customHeight="1">
      <c r="B170" s="524"/>
    </row>
    <row r="171" spans="2:2" ht="12" customHeight="1">
      <c r="B171" s="524"/>
    </row>
    <row r="172" spans="2:2" ht="12" customHeight="1">
      <c r="B172" s="524"/>
    </row>
    <row r="173" spans="2:2" ht="12" customHeight="1">
      <c r="B173" s="524"/>
    </row>
    <row r="174" spans="2:2" ht="12" customHeight="1">
      <c r="B174" s="524"/>
    </row>
    <row r="175" spans="2:2" ht="12" customHeight="1">
      <c r="B175" s="524"/>
    </row>
    <row r="176" spans="2:2" ht="12" customHeight="1">
      <c r="B176" s="524"/>
    </row>
    <row r="177" spans="2:2" ht="12" customHeight="1">
      <c r="B177" s="524"/>
    </row>
    <row r="178" spans="2:2" ht="12" customHeight="1">
      <c r="B178" s="524"/>
    </row>
    <row r="179" spans="2:2" ht="12" customHeight="1">
      <c r="B179" s="524"/>
    </row>
    <row r="180" spans="2:2" ht="12" customHeight="1">
      <c r="B180" s="524"/>
    </row>
    <row r="181" spans="2:2" ht="12" customHeight="1">
      <c r="B181" s="524"/>
    </row>
    <row r="182" spans="2:2" ht="12" customHeight="1">
      <c r="B182" s="524"/>
    </row>
    <row r="183" spans="2:2" ht="12" customHeight="1">
      <c r="B183" s="524"/>
    </row>
    <row r="184" spans="2:2" ht="12" customHeight="1">
      <c r="B184" s="524"/>
    </row>
    <row r="185" spans="2:2" ht="12" customHeight="1">
      <c r="B185" s="524"/>
    </row>
    <row r="186" spans="2:2" ht="12" customHeight="1">
      <c r="B186" s="524"/>
    </row>
    <row r="187" spans="2:2" ht="12" customHeight="1">
      <c r="B187" s="524"/>
    </row>
    <row r="188" spans="2:2" ht="12" customHeight="1">
      <c r="B188" s="524"/>
    </row>
    <row r="189" spans="2:2" ht="12" customHeight="1">
      <c r="B189" s="524"/>
    </row>
    <row r="190" spans="2:2" ht="12" customHeight="1">
      <c r="B190" s="524"/>
    </row>
    <row r="191" spans="2:2" ht="12" customHeight="1">
      <c r="B191" s="524"/>
    </row>
    <row r="192" spans="2:2" ht="12" customHeight="1">
      <c r="B192" s="524"/>
    </row>
    <row r="193" spans="2:2" ht="12" customHeight="1">
      <c r="B193" s="524"/>
    </row>
    <row r="194" spans="2:2" ht="12" customHeight="1">
      <c r="B194" s="524"/>
    </row>
    <row r="195" spans="2:2" ht="12" customHeight="1">
      <c r="B195" s="524"/>
    </row>
    <row r="196" spans="2:2" ht="12" customHeight="1">
      <c r="B196" s="524"/>
    </row>
    <row r="197" spans="2:2" ht="12" customHeight="1">
      <c r="B197" s="524"/>
    </row>
    <row r="198" spans="2:2" ht="12" customHeight="1">
      <c r="B198" s="524"/>
    </row>
    <row r="199" spans="2:2" ht="12" customHeight="1">
      <c r="B199" s="524"/>
    </row>
    <row r="200" spans="2:2" ht="12" customHeight="1">
      <c r="B200" s="524"/>
    </row>
    <row r="201" spans="2:2" ht="12" customHeight="1">
      <c r="B201" s="524"/>
    </row>
    <row r="202" spans="2:2" ht="12" customHeight="1">
      <c r="B202" s="524"/>
    </row>
    <row r="203" spans="2:2" ht="12" customHeight="1">
      <c r="B203" s="524"/>
    </row>
    <row r="204" spans="2:2" ht="12" customHeight="1">
      <c r="B204" s="524"/>
    </row>
    <row r="205" spans="2:2" ht="12" customHeight="1">
      <c r="B205" s="524"/>
    </row>
    <row r="206" spans="2:2" ht="12" customHeight="1">
      <c r="B206" s="524"/>
    </row>
    <row r="207" spans="2:2" ht="12" customHeight="1">
      <c r="B207" s="524"/>
    </row>
    <row r="208" spans="2:2" ht="12" customHeight="1">
      <c r="B208" s="524"/>
    </row>
    <row r="209" spans="2:2" ht="12" customHeight="1">
      <c r="B209" s="524"/>
    </row>
    <row r="210" spans="2:2" ht="12" customHeight="1">
      <c r="B210" s="524"/>
    </row>
    <row r="211" spans="2:2" ht="12" customHeight="1">
      <c r="B211" s="524"/>
    </row>
    <row r="212" spans="2:2" ht="12" customHeight="1">
      <c r="B212" s="524"/>
    </row>
    <row r="213" spans="2:2" ht="12" customHeight="1">
      <c r="B213" s="524"/>
    </row>
    <row r="214" spans="2:2" ht="12" customHeight="1">
      <c r="B214" s="524"/>
    </row>
    <row r="215" spans="2:2" ht="12" customHeight="1">
      <c r="B215" s="524"/>
    </row>
    <row r="216" spans="2:2" ht="12" customHeight="1">
      <c r="B216" s="524"/>
    </row>
    <row r="217" spans="2:2" ht="12" customHeight="1">
      <c r="B217" s="524"/>
    </row>
    <row r="218" spans="2:2" ht="12" customHeight="1">
      <c r="B218" s="524"/>
    </row>
    <row r="219" spans="2:2" ht="12" customHeight="1">
      <c r="B219" s="524"/>
    </row>
    <row r="220" spans="2:2" ht="12" customHeight="1">
      <c r="B220" s="524"/>
    </row>
    <row r="221" spans="2:2" ht="12" customHeight="1">
      <c r="B221" s="524"/>
    </row>
    <row r="222" spans="2:2" ht="12" customHeight="1">
      <c r="B222" s="524"/>
    </row>
    <row r="223" spans="2:2" ht="12" customHeight="1">
      <c r="B223" s="524"/>
    </row>
    <row r="224" spans="2:2" ht="12" customHeight="1">
      <c r="B224" s="524"/>
    </row>
    <row r="225" spans="2:2" ht="12" customHeight="1">
      <c r="B225" s="524"/>
    </row>
    <row r="226" spans="2:2" ht="12" customHeight="1">
      <c r="B226" s="524"/>
    </row>
    <row r="227" spans="2:2" ht="12" customHeight="1">
      <c r="B227" s="524"/>
    </row>
    <row r="228" spans="2:2" ht="12" customHeight="1">
      <c r="B228" s="524"/>
    </row>
    <row r="229" spans="2:2" ht="12" customHeight="1">
      <c r="B229" s="524"/>
    </row>
    <row r="230" spans="2:2" ht="12" customHeight="1">
      <c r="B230" s="524"/>
    </row>
    <row r="231" spans="2:2" ht="12" customHeight="1">
      <c r="B231" s="524"/>
    </row>
    <row r="232" spans="2:2" ht="12" customHeight="1">
      <c r="B232" s="524"/>
    </row>
    <row r="233" spans="2:2" ht="12" customHeight="1">
      <c r="B233" s="524"/>
    </row>
    <row r="234" spans="2:2" ht="12" customHeight="1">
      <c r="B234" s="524"/>
    </row>
    <row r="235" spans="2:2" ht="12" customHeight="1">
      <c r="B235" s="524"/>
    </row>
    <row r="236" spans="2:2" ht="12" customHeight="1">
      <c r="B236" s="524"/>
    </row>
    <row r="237" spans="2:2" ht="12" customHeight="1">
      <c r="B237" s="524"/>
    </row>
    <row r="238" spans="2:2" ht="12" customHeight="1">
      <c r="B238" s="524"/>
    </row>
    <row r="239" spans="2:2" ht="12" customHeight="1">
      <c r="B239" s="524"/>
    </row>
    <row r="240" spans="2:2" ht="12" customHeight="1">
      <c r="B240" s="524"/>
    </row>
    <row r="241" spans="2:2" ht="12" customHeight="1">
      <c r="B241" s="524"/>
    </row>
    <row r="242" spans="2:2" ht="12" customHeight="1">
      <c r="B242" s="524"/>
    </row>
    <row r="243" spans="2:2" ht="12" customHeight="1">
      <c r="B243" s="524"/>
    </row>
    <row r="244" spans="2:2" ht="12" customHeight="1">
      <c r="B244" s="524"/>
    </row>
    <row r="245" spans="2:2" ht="12" customHeight="1">
      <c r="B245" s="524"/>
    </row>
    <row r="246" spans="2:2" ht="12" customHeight="1">
      <c r="B246" s="524"/>
    </row>
    <row r="247" spans="2:2" ht="12" customHeight="1">
      <c r="B247" s="524"/>
    </row>
    <row r="248" spans="2:2" ht="12" customHeight="1">
      <c r="B248" s="524"/>
    </row>
    <row r="249" spans="2:2" ht="12" customHeight="1">
      <c r="B249" s="524"/>
    </row>
    <row r="250" spans="2:2" ht="12" customHeight="1">
      <c r="B250" s="524"/>
    </row>
    <row r="251" spans="2:2" ht="12" customHeight="1">
      <c r="B251" s="524"/>
    </row>
    <row r="252" spans="2:2" ht="12" customHeight="1">
      <c r="B252" s="524"/>
    </row>
    <row r="253" spans="2:2" ht="12" customHeight="1">
      <c r="B253" s="524"/>
    </row>
    <row r="254" spans="2:2" ht="12" customHeight="1">
      <c r="B254" s="524"/>
    </row>
    <row r="255" spans="2:2" ht="12" customHeight="1">
      <c r="B255" s="524"/>
    </row>
    <row r="256" spans="2:2" ht="12" customHeight="1">
      <c r="B256" s="524"/>
    </row>
    <row r="257" spans="2:2" ht="12" customHeight="1">
      <c r="B257" s="524"/>
    </row>
    <row r="258" spans="2:2" ht="12" customHeight="1">
      <c r="B258" s="524"/>
    </row>
    <row r="259" spans="2:2" ht="12" customHeight="1">
      <c r="B259" s="524"/>
    </row>
    <row r="260" spans="2:2" ht="12" customHeight="1">
      <c r="B260" s="524"/>
    </row>
    <row r="261" spans="2:2" ht="12" customHeight="1">
      <c r="B261" s="524"/>
    </row>
    <row r="262" spans="2:2" ht="12" customHeight="1">
      <c r="B262" s="524"/>
    </row>
    <row r="263" spans="2:2" ht="12" customHeight="1">
      <c r="B263" s="524"/>
    </row>
    <row r="264" spans="2:2" ht="12" customHeight="1">
      <c r="B264" s="524"/>
    </row>
    <row r="265" spans="2:2" ht="12" customHeight="1">
      <c r="B265" s="524"/>
    </row>
    <row r="266" spans="2:2" ht="12" customHeight="1">
      <c r="B266" s="524"/>
    </row>
    <row r="267" spans="2:2" ht="12" customHeight="1">
      <c r="B267" s="524"/>
    </row>
    <row r="268" spans="2:2" ht="12" customHeight="1">
      <c r="B268" s="524"/>
    </row>
    <row r="269" spans="2:2" ht="12" customHeight="1">
      <c r="B269" s="524"/>
    </row>
    <row r="270" spans="2:2" ht="12" customHeight="1">
      <c r="B270" s="524"/>
    </row>
    <row r="271" spans="2:2" ht="12" customHeight="1">
      <c r="B271" s="524"/>
    </row>
    <row r="272" spans="2:2" ht="12" customHeight="1">
      <c r="B272" s="524"/>
    </row>
    <row r="273" spans="2:2" ht="12" customHeight="1">
      <c r="B273" s="524"/>
    </row>
    <row r="274" spans="2:2" ht="12" customHeight="1">
      <c r="B274" s="524"/>
    </row>
    <row r="275" spans="2:2" ht="12" customHeight="1">
      <c r="B275" s="524"/>
    </row>
    <row r="276" spans="2:2" ht="12" customHeight="1">
      <c r="B276" s="524"/>
    </row>
    <row r="277" spans="2:2" ht="12" customHeight="1">
      <c r="B277" s="524"/>
    </row>
    <row r="278" spans="2:2" ht="12" customHeight="1">
      <c r="B278" s="524"/>
    </row>
    <row r="279" spans="2:2" ht="12" customHeight="1">
      <c r="B279" s="524"/>
    </row>
    <row r="280" spans="2:2" ht="12" customHeight="1">
      <c r="B280" s="524"/>
    </row>
    <row r="281" spans="2:2" ht="12" customHeight="1">
      <c r="B281" s="524"/>
    </row>
    <row r="282" spans="2:2" ht="12" customHeight="1">
      <c r="B282" s="524"/>
    </row>
    <row r="283" spans="2:2" ht="12" customHeight="1">
      <c r="B283" s="524"/>
    </row>
    <row r="284" spans="2:2" ht="12" customHeight="1">
      <c r="B284" s="524"/>
    </row>
    <row r="285" spans="2:2" ht="12" customHeight="1">
      <c r="B285" s="524"/>
    </row>
    <row r="286" spans="2:2" ht="12" customHeight="1">
      <c r="B286" s="524"/>
    </row>
    <row r="287" spans="2:2" ht="12" customHeight="1">
      <c r="B287" s="524"/>
    </row>
    <row r="288" spans="2:2" ht="12" customHeight="1">
      <c r="B288" s="524"/>
    </row>
    <row r="289" spans="2:2" ht="12" customHeight="1">
      <c r="B289" s="524"/>
    </row>
    <row r="290" spans="2:2" ht="12" customHeight="1">
      <c r="B290" s="524"/>
    </row>
    <row r="291" spans="2:2" ht="12" customHeight="1">
      <c r="B291" s="524"/>
    </row>
    <row r="292" spans="2:2" ht="12" customHeight="1">
      <c r="B292" s="524"/>
    </row>
    <row r="293" spans="2:2" ht="12" customHeight="1">
      <c r="B293" s="524"/>
    </row>
    <row r="294" spans="2:2" ht="12" customHeight="1">
      <c r="B294" s="524"/>
    </row>
    <row r="295" spans="2:2" ht="12" customHeight="1">
      <c r="B295" s="524"/>
    </row>
    <row r="296" spans="2:2" ht="12" customHeight="1">
      <c r="B296" s="524"/>
    </row>
    <row r="297" spans="2:2" ht="12" customHeight="1">
      <c r="B297" s="524"/>
    </row>
    <row r="298" spans="2:2" ht="12" customHeight="1">
      <c r="B298" s="524"/>
    </row>
    <row r="299" spans="2:2" ht="12" customHeight="1">
      <c r="B299" s="524"/>
    </row>
    <row r="300" spans="2:2" ht="12" customHeight="1">
      <c r="B300" s="524"/>
    </row>
    <row r="301" spans="2:2" ht="12" customHeight="1">
      <c r="B301" s="524"/>
    </row>
    <row r="302" spans="2:2" ht="12" customHeight="1">
      <c r="B302" s="524"/>
    </row>
    <row r="303" spans="2:2" ht="12" customHeight="1">
      <c r="B303" s="524"/>
    </row>
    <row r="304" spans="2:2" ht="12" customHeight="1">
      <c r="B304" s="524"/>
    </row>
    <row r="305" spans="2:2" ht="12" customHeight="1">
      <c r="B305" s="524"/>
    </row>
    <row r="306" spans="2:2" ht="12" customHeight="1">
      <c r="B306" s="524"/>
    </row>
    <row r="307" spans="2:2" ht="12" customHeight="1">
      <c r="B307" s="524"/>
    </row>
    <row r="308" spans="2:2" ht="12" customHeight="1">
      <c r="B308" s="524"/>
    </row>
    <row r="309" spans="2:2" ht="12" customHeight="1">
      <c r="B309" s="524"/>
    </row>
    <row r="310" spans="2:2" ht="12" customHeight="1">
      <c r="B310" s="524"/>
    </row>
    <row r="311" spans="2:2" ht="12" customHeight="1">
      <c r="B311" s="524"/>
    </row>
    <row r="312" spans="2:2" ht="12" customHeight="1">
      <c r="B312" s="524"/>
    </row>
    <row r="313" spans="2:2" ht="12" customHeight="1">
      <c r="B313" s="524"/>
    </row>
    <row r="314" spans="2:2" ht="12" customHeight="1">
      <c r="B314" s="524"/>
    </row>
    <row r="315" spans="2:2" ht="12" customHeight="1">
      <c r="B315" s="524"/>
    </row>
    <row r="316" spans="2:2" ht="12" customHeight="1">
      <c r="B316" s="524"/>
    </row>
    <row r="317" spans="2:2" ht="12" customHeight="1">
      <c r="B317" s="524"/>
    </row>
    <row r="318" spans="2:2" ht="12" customHeight="1">
      <c r="B318" s="524"/>
    </row>
    <row r="319" spans="2:2" ht="12" customHeight="1">
      <c r="B319" s="524"/>
    </row>
    <row r="320" spans="2:2" ht="12" customHeight="1">
      <c r="B320" s="524"/>
    </row>
    <row r="321" spans="2:2" ht="12" customHeight="1">
      <c r="B321" s="524"/>
    </row>
    <row r="322" spans="2:2" ht="12" customHeight="1">
      <c r="B322" s="524"/>
    </row>
    <row r="323" spans="2:2" ht="12" customHeight="1">
      <c r="B323" s="524"/>
    </row>
    <row r="324" spans="2:2" ht="12" customHeight="1">
      <c r="B324" s="524"/>
    </row>
    <row r="325" spans="2:2" ht="12" customHeight="1">
      <c r="B325" s="524"/>
    </row>
    <row r="326" spans="2:2" ht="12" customHeight="1">
      <c r="B326" s="524"/>
    </row>
    <row r="327" spans="2:2" ht="12" customHeight="1">
      <c r="B327" s="524"/>
    </row>
    <row r="328" spans="2:2" ht="12" customHeight="1">
      <c r="B328" s="524"/>
    </row>
    <row r="329" spans="2:2" ht="12" customHeight="1">
      <c r="B329" s="524"/>
    </row>
    <row r="330" spans="2:2" ht="12" customHeight="1">
      <c r="B330" s="524"/>
    </row>
    <row r="331" spans="2:2" ht="12" customHeight="1">
      <c r="B331" s="524"/>
    </row>
    <row r="332" spans="2:2" ht="12" customHeight="1">
      <c r="B332" s="524"/>
    </row>
    <row r="333" spans="2:2" ht="12" customHeight="1">
      <c r="B333" s="524"/>
    </row>
    <row r="334" spans="2:2" ht="12" customHeight="1">
      <c r="B334" s="524"/>
    </row>
    <row r="335" spans="2:2" ht="12" customHeight="1">
      <c r="B335" s="524"/>
    </row>
    <row r="336" spans="2:2" ht="12" customHeight="1">
      <c r="B336" s="524"/>
    </row>
    <row r="337" spans="2:2" ht="12" customHeight="1">
      <c r="B337" s="524"/>
    </row>
    <row r="338" spans="2:2" ht="12" customHeight="1">
      <c r="B338" s="524"/>
    </row>
    <row r="339" spans="2:2" ht="12" customHeight="1">
      <c r="B339" s="524"/>
    </row>
    <row r="340" spans="2:2" ht="12" customHeight="1">
      <c r="B340" s="524"/>
    </row>
    <row r="341" spans="2:2" ht="12" customHeight="1">
      <c r="B341" s="524"/>
    </row>
    <row r="342" spans="2:2" ht="12" customHeight="1">
      <c r="B342" s="524"/>
    </row>
    <row r="343" spans="2:2" ht="12" customHeight="1">
      <c r="B343" s="524"/>
    </row>
    <row r="344" spans="2:2" ht="12" customHeight="1">
      <c r="B344" s="524"/>
    </row>
    <row r="345" spans="2:2" ht="12" customHeight="1">
      <c r="B345" s="524"/>
    </row>
    <row r="346" spans="2:2" ht="12" customHeight="1">
      <c r="B346" s="524"/>
    </row>
    <row r="347" spans="2:2" ht="12" customHeight="1">
      <c r="B347" s="524"/>
    </row>
    <row r="348" spans="2:2" ht="12" customHeight="1">
      <c r="B348" s="524"/>
    </row>
    <row r="349" spans="2:2" ht="12" customHeight="1">
      <c r="B349" s="524"/>
    </row>
    <row r="350" spans="2:2" ht="12" customHeight="1">
      <c r="B350" s="524"/>
    </row>
    <row r="351" spans="2:2" ht="12" customHeight="1">
      <c r="B351" s="524"/>
    </row>
    <row r="352" spans="2:2" ht="12" customHeight="1">
      <c r="B352" s="524"/>
    </row>
    <row r="353" spans="2:2" ht="12" customHeight="1">
      <c r="B353" s="524"/>
    </row>
    <row r="354" spans="2:2" ht="12" customHeight="1">
      <c r="B354" s="524"/>
    </row>
    <row r="355" spans="2:2" ht="12" customHeight="1">
      <c r="B355" s="524"/>
    </row>
    <row r="356" spans="2:2" ht="12" customHeight="1">
      <c r="B356" s="524"/>
    </row>
    <row r="357" spans="2:2" ht="12" customHeight="1">
      <c r="B357" s="524"/>
    </row>
    <row r="358" spans="2:2" ht="12" customHeight="1">
      <c r="B358" s="524"/>
    </row>
    <row r="359" spans="2:2" ht="12" customHeight="1">
      <c r="B359" s="524"/>
    </row>
    <row r="360" spans="2:2" ht="12" customHeight="1">
      <c r="B360" s="524"/>
    </row>
    <row r="361" spans="2:2" ht="12" customHeight="1">
      <c r="B361" s="524"/>
    </row>
    <row r="362" spans="2:2" ht="12" customHeight="1">
      <c r="B362" s="524"/>
    </row>
    <row r="363" spans="2:2" ht="12" customHeight="1">
      <c r="B363" s="524"/>
    </row>
    <row r="364" spans="2:2" ht="12" customHeight="1">
      <c r="B364" s="524"/>
    </row>
    <row r="365" spans="2:2" ht="12" customHeight="1">
      <c r="B365" s="524"/>
    </row>
    <row r="366" spans="2:2" ht="12" customHeight="1">
      <c r="B366" s="524"/>
    </row>
    <row r="367" spans="2:2" ht="12" customHeight="1">
      <c r="B367" s="524"/>
    </row>
    <row r="368" spans="2:2" ht="12" customHeight="1">
      <c r="B368" s="524"/>
    </row>
    <row r="369" spans="2:2" ht="12" customHeight="1">
      <c r="B369" s="524"/>
    </row>
    <row r="370" spans="2:2" ht="12" customHeight="1">
      <c r="B370" s="524"/>
    </row>
    <row r="371" spans="2:2" ht="12" customHeight="1">
      <c r="B371" s="524"/>
    </row>
    <row r="372" spans="2:2" ht="12" customHeight="1">
      <c r="B372" s="524"/>
    </row>
    <row r="373" spans="2:2" ht="12" customHeight="1">
      <c r="B373" s="524"/>
    </row>
    <row r="374" spans="2:2" ht="12" customHeight="1">
      <c r="B374" s="524"/>
    </row>
    <row r="375" spans="2:2" ht="12" customHeight="1">
      <c r="B375" s="524"/>
    </row>
    <row r="376" spans="2:2" ht="12" customHeight="1">
      <c r="B376" s="524"/>
    </row>
    <row r="377" spans="2:2" ht="12" customHeight="1">
      <c r="B377" s="524"/>
    </row>
    <row r="378" spans="2:2" ht="12" customHeight="1">
      <c r="B378" s="524"/>
    </row>
    <row r="379" spans="2:2" ht="12" customHeight="1">
      <c r="B379" s="524"/>
    </row>
    <row r="380" spans="2:2" ht="12" customHeight="1">
      <c r="B380" s="524"/>
    </row>
    <row r="381" spans="2:2" ht="12" customHeight="1">
      <c r="B381" s="524"/>
    </row>
    <row r="382" spans="2:2" ht="12" customHeight="1">
      <c r="B382" s="524"/>
    </row>
    <row r="383" spans="2:2" ht="12" customHeight="1">
      <c r="B383" s="524"/>
    </row>
    <row r="384" spans="2:2" ht="12" customHeight="1">
      <c r="B384" s="524"/>
    </row>
    <row r="385" spans="2:2" ht="12" customHeight="1">
      <c r="B385" s="524"/>
    </row>
    <row r="386" spans="2:2" ht="12" customHeight="1">
      <c r="B386" s="524"/>
    </row>
    <row r="387" spans="2:2" ht="12" customHeight="1">
      <c r="B387" s="524"/>
    </row>
    <row r="388" spans="2:2" ht="12" customHeight="1">
      <c r="B388" s="524"/>
    </row>
    <row r="389" spans="2:2" ht="12" customHeight="1">
      <c r="B389" s="524"/>
    </row>
    <row r="390" spans="2:2" ht="12" customHeight="1">
      <c r="B390" s="524"/>
    </row>
    <row r="391" spans="2:2" ht="12" customHeight="1">
      <c r="B391" s="524"/>
    </row>
    <row r="392" spans="2:2" ht="12" customHeight="1">
      <c r="B392" s="524"/>
    </row>
    <row r="393" spans="2:2" ht="12" customHeight="1">
      <c r="B393" s="524"/>
    </row>
    <row r="394" spans="2:2" ht="12" customHeight="1">
      <c r="B394" s="524"/>
    </row>
    <row r="395" spans="2:2" ht="12" customHeight="1">
      <c r="B395" s="524"/>
    </row>
    <row r="396" spans="2:2" ht="12" customHeight="1">
      <c r="B396" s="524"/>
    </row>
    <row r="397" spans="2:2" ht="12" customHeight="1">
      <c r="B397" s="524"/>
    </row>
    <row r="398" spans="2:2" ht="12" customHeight="1">
      <c r="B398" s="524"/>
    </row>
    <row r="399" spans="2:2" ht="12" customHeight="1">
      <c r="B399" s="524"/>
    </row>
    <row r="400" spans="2:2" ht="12" customHeight="1">
      <c r="B400" s="524"/>
    </row>
    <row r="401" spans="2:2" ht="12" customHeight="1">
      <c r="B401" s="524"/>
    </row>
    <row r="402" spans="2:2" ht="12" customHeight="1">
      <c r="B402" s="524"/>
    </row>
    <row r="403" spans="2:2" ht="12" customHeight="1">
      <c r="B403" s="524"/>
    </row>
    <row r="404" spans="2:2" ht="12" customHeight="1">
      <c r="B404" s="524"/>
    </row>
    <row r="405" spans="2:2" ht="12" customHeight="1">
      <c r="B405" s="524"/>
    </row>
    <row r="406" spans="2:2" ht="12" customHeight="1">
      <c r="B406" s="524"/>
    </row>
    <row r="407" spans="2:2" ht="12" customHeight="1">
      <c r="B407" s="524"/>
    </row>
    <row r="408" spans="2:2" ht="12" customHeight="1">
      <c r="B408" s="524"/>
    </row>
    <row r="409" spans="2:2" ht="12" customHeight="1">
      <c r="B409" s="524"/>
    </row>
    <row r="410" spans="2:2" ht="12" customHeight="1">
      <c r="B410" s="524"/>
    </row>
    <row r="411" spans="2:2" ht="12" customHeight="1">
      <c r="B411" s="524"/>
    </row>
    <row r="412" spans="2:2" ht="12" customHeight="1">
      <c r="B412" s="524"/>
    </row>
    <row r="413" spans="2:2" ht="12" customHeight="1">
      <c r="B413" s="524"/>
    </row>
    <row r="414" spans="2:2" ht="12" customHeight="1">
      <c r="B414" s="524"/>
    </row>
    <row r="415" spans="2:2" ht="12" customHeight="1">
      <c r="B415" s="524"/>
    </row>
    <row r="416" spans="2:2" ht="12" customHeight="1">
      <c r="B416" s="524"/>
    </row>
    <row r="417" spans="2:2" ht="12" customHeight="1">
      <c r="B417" s="524"/>
    </row>
    <row r="418" spans="2:2" ht="12" customHeight="1">
      <c r="B418" s="524"/>
    </row>
    <row r="419" spans="2:2" ht="12" customHeight="1">
      <c r="B419" s="524"/>
    </row>
    <row r="420" spans="2:2" ht="12" customHeight="1">
      <c r="B420" s="524"/>
    </row>
    <row r="421" spans="2:2" ht="12" customHeight="1">
      <c r="B421" s="524"/>
    </row>
    <row r="422" spans="2:2" ht="12" customHeight="1">
      <c r="B422" s="524"/>
    </row>
    <row r="423" spans="2:2" ht="12" customHeight="1">
      <c r="B423" s="524"/>
    </row>
    <row r="424" spans="2:2" ht="12" customHeight="1">
      <c r="B424" s="524"/>
    </row>
    <row r="425" spans="2:2" ht="12" customHeight="1">
      <c r="B425" s="524"/>
    </row>
    <row r="426" spans="2:2" ht="12" customHeight="1">
      <c r="B426" s="524"/>
    </row>
    <row r="427" spans="2:2" ht="12" customHeight="1">
      <c r="B427" s="524"/>
    </row>
    <row r="428" spans="2:2" ht="12" customHeight="1">
      <c r="B428" s="524"/>
    </row>
    <row r="429" spans="2:2" ht="12" customHeight="1">
      <c r="B429" s="524"/>
    </row>
    <row r="430" spans="2:2" ht="12" customHeight="1">
      <c r="B430" s="524"/>
    </row>
    <row r="431" spans="2:2" ht="12" customHeight="1">
      <c r="B431" s="524"/>
    </row>
    <row r="432" spans="2:2" ht="12" customHeight="1">
      <c r="B432" s="524"/>
    </row>
    <row r="433" spans="2:2" ht="12" customHeight="1">
      <c r="B433" s="524"/>
    </row>
    <row r="434" spans="2:2" ht="12" customHeight="1">
      <c r="B434" s="524"/>
    </row>
    <row r="435" spans="2:2" ht="12" customHeight="1">
      <c r="B435" s="524"/>
    </row>
    <row r="436" spans="2:2" ht="12" customHeight="1">
      <c r="B436" s="524"/>
    </row>
    <row r="437" spans="2:2" ht="12" customHeight="1">
      <c r="B437" s="524"/>
    </row>
    <row r="438" spans="2:2" ht="12" customHeight="1">
      <c r="B438" s="524"/>
    </row>
    <row r="439" spans="2:2" ht="12" customHeight="1">
      <c r="B439" s="524"/>
    </row>
    <row r="440" spans="2:2" ht="12" customHeight="1">
      <c r="B440" s="524"/>
    </row>
    <row r="441" spans="2:2" ht="12" customHeight="1">
      <c r="B441" s="524"/>
    </row>
    <row r="442" spans="2:2" ht="12" customHeight="1">
      <c r="B442" s="524"/>
    </row>
    <row r="443" spans="2:2" ht="12" customHeight="1">
      <c r="B443" s="524"/>
    </row>
    <row r="444" spans="2:2" ht="12" customHeight="1">
      <c r="B444" s="524"/>
    </row>
    <row r="445" spans="2:2" ht="12" customHeight="1">
      <c r="B445" s="524"/>
    </row>
    <row r="446" spans="2:2" ht="12" customHeight="1">
      <c r="B446" s="524"/>
    </row>
    <row r="447" spans="2:2" ht="12" customHeight="1">
      <c r="B447" s="524"/>
    </row>
    <row r="448" spans="2:2" ht="12" customHeight="1">
      <c r="B448" s="524"/>
    </row>
    <row r="449" spans="2:2" ht="12" customHeight="1">
      <c r="B449" s="524"/>
    </row>
    <row r="450" spans="2:2" ht="12" customHeight="1">
      <c r="B450" s="524"/>
    </row>
    <row r="451" spans="2:2" ht="12" customHeight="1">
      <c r="B451" s="524"/>
    </row>
    <row r="452" spans="2:2" ht="12" customHeight="1">
      <c r="B452" s="524"/>
    </row>
    <row r="453" spans="2:2" ht="12" customHeight="1">
      <c r="B453" s="524"/>
    </row>
    <row r="454" spans="2:2" ht="12" customHeight="1">
      <c r="B454" s="524"/>
    </row>
    <row r="455" spans="2:2" ht="12" customHeight="1">
      <c r="B455" s="524"/>
    </row>
    <row r="456" spans="2:2" ht="12" customHeight="1">
      <c r="B456" s="524"/>
    </row>
    <row r="457" spans="2:2" ht="12" customHeight="1">
      <c r="B457" s="524"/>
    </row>
    <row r="458" spans="2:2" ht="12" customHeight="1">
      <c r="B458" s="524"/>
    </row>
    <row r="459" spans="2:2" ht="12" customHeight="1">
      <c r="B459" s="524"/>
    </row>
    <row r="460" spans="2:2" ht="12" customHeight="1">
      <c r="B460" s="524"/>
    </row>
    <row r="461" spans="2:2" ht="12" customHeight="1">
      <c r="B461" s="524"/>
    </row>
    <row r="462" spans="2:2" ht="12" customHeight="1">
      <c r="B462" s="524"/>
    </row>
    <row r="463" spans="2:2" ht="12" customHeight="1">
      <c r="B463" s="524"/>
    </row>
    <row r="464" spans="2:2" ht="12" customHeight="1">
      <c r="B464" s="524"/>
    </row>
    <row r="465" spans="2:2" ht="12" customHeight="1">
      <c r="B465" s="524"/>
    </row>
    <row r="466" spans="2:2" ht="12" customHeight="1">
      <c r="B466" s="524"/>
    </row>
    <row r="467" spans="2:2" ht="12" customHeight="1">
      <c r="B467" s="524"/>
    </row>
    <row r="468" spans="2:2" ht="12" customHeight="1">
      <c r="B468" s="524"/>
    </row>
    <row r="469" spans="2:2" ht="12" customHeight="1">
      <c r="B469" s="524"/>
    </row>
    <row r="470" spans="2:2" ht="12" customHeight="1">
      <c r="B470" s="524"/>
    </row>
    <row r="471" spans="2:2" ht="12" customHeight="1">
      <c r="B471" s="524"/>
    </row>
    <row r="472" spans="2:2" ht="12" customHeight="1">
      <c r="B472" s="524"/>
    </row>
    <row r="473" spans="2:2" ht="12" customHeight="1">
      <c r="B473" s="524"/>
    </row>
    <row r="474" spans="2:2" ht="12" customHeight="1">
      <c r="B474" s="524"/>
    </row>
    <row r="475" spans="2:2" ht="12" customHeight="1">
      <c r="B475" s="524"/>
    </row>
    <row r="476" spans="2:2" ht="12" customHeight="1">
      <c r="B476" s="524"/>
    </row>
    <row r="477" spans="2:2" ht="12" customHeight="1">
      <c r="B477" s="524"/>
    </row>
    <row r="478" spans="2:2" ht="12" customHeight="1">
      <c r="B478" s="524"/>
    </row>
    <row r="479" spans="2:2" ht="12" customHeight="1">
      <c r="B479" s="524"/>
    </row>
    <row r="480" spans="2:2" ht="12" customHeight="1">
      <c r="B480" s="524"/>
    </row>
    <row r="481" spans="2:2" ht="12" customHeight="1">
      <c r="B481" s="524"/>
    </row>
    <row r="482" spans="2:2" ht="12" customHeight="1">
      <c r="B482" s="524"/>
    </row>
    <row r="483" spans="2:2" ht="12" customHeight="1">
      <c r="B483" s="524"/>
    </row>
    <row r="484" spans="2:2" ht="12" customHeight="1">
      <c r="B484" s="524"/>
    </row>
    <row r="485" spans="2:2" ht="12" customHeight="1">
      <c r="B485" s="524"/>
    </row>
    <row r="486" spans="2:2" ht="12" customHeight="1">
      <c r="B486" s="524"/>
    </row>
    <row r="487" spans="2:2" ht="12" customHeight="1">
      <c r="B487" s="524"/>
    </row>
    <row r="488" spans="2:2" ht="12" customHeight="1">
      <c r="B488" s="524"/>
    </row>
    <row r="489" spans="2:2" ht="12" customHeight="1">
      <c r="B489" s="524"/>
    </row>
    <row r="490" spans="2:2" ht="12" customHeight="1">
      <c r="B490" s="524"/>
    </row>
    <row r="491" spans="2:2" ht="12" customHeight="1">
      <c r="B491" s="524"/>
    </row>
    <row r="492" spans="2:2" ht="12" customHeight="1">
      <c r="B492" s="524"/>
    </row>
    <row r="493" spans="2:2" ht="12" customHeight="1">
      <c r="B493" s="524"/>
    </row>
    <row r="494" spans="2:2" ht="12" customHeight="1">
      <c r="B494" s="524"/>
    </row>
    <row r="495" spans="2:2" ht="12" customHeight="1">
      <c r="B495" s="524"/>
    </row>
    <row r="496" spans="2:2" ht="12" customHeight="1">
      <c r="B496" s="524"/>
    </row>
    <row r="497" spans="2:2" ht="12" customHeight="1">
      <c r="B497" s="524"/>
    </row>
    <row r="498" spans="2:2" ht="12" customHeight="1">
      <c r="B498" s="524"/>
    </row>
    <row r="499" spans="2:2" ht="12" customHeight="1">
      <c r="B499" s="524"/>
    </row>
    <row r="500" spans="2:2" ht="12" customHeight="1">
      <c r="B500" s="524"/>
    </row>
    <row r="501" spans="2:2" ht="12" customHeight="1">
      <c r="B501" s="524"/>
    </row>
    <row r="502" spans="2:2" ht="12" customHeight="1">
      <c r="B502" s="524"/>
    </row>
    <row r="503" spans="2:2" ht="12" customHeight="1">
      <c r="B503" s="524"/>
    </row>
    <row r="504" spans="2:2" ht="12" customHeight="1">
      <c r="B504" s="524"/>
    </row>
    <row r="505" spans="2:2" ht="12" customHeight="1">
      <c r="B505" s="524"/>
    </row>
    <row r="506" spans="2:2" ht="12" customHeight="1">
      <c r="B506" s="524"/>
    </row>
    <row r="507" spans="2:2" ht="12" customHeight="1">
      <c r="B507" s="524"/>
    </row>
    <row r="508" spans="2:2" ht="12" customHeight="1">
      <c r="B508" s="524"/>
    </row>
    <row r="509" spans="2:2" ht="12" customHeight="1">
      <c r="B509" s="524"/>
    </row>
    <row r="510" spans="2:2" ht="12" customHeight="1">
      <c r="B510" s="524"/>
    </row>
    <row r="511" spans="2:2" ht="12" customHeight="1">
      <c r="B511" s="524"/>
    </row>
    <row r="512" spans="2:2" ht="12" customHeight="1">
      <c r="B512" s="524"/>
    </row>
    <row r="513" spans="2:2" ht="12" customHeight="1">
      <c r="B513" s="524"/>
    </row>
    <row r="514" spans="2:2" ht="12" customHeight="1">
      <c r="B514" s="524"/>
    </row>
    <row r="515" spans="2:2" ht="12" customHeight="1">
      <c r="B515" s="524"/>
    </row>
    <row r="516" spans="2:2" ht="12" customHeight="1">
      <c r="B516" s="524"/>
    </row>
    <row r="517" spans="2:2" ht="12" customHeight="1">
      <c r="B517" s="524"/>
    </row>
    <row r="518" spans="2:2" ht="12" customHeight="1">
      <c r="B518" s="524"/>
    </row>
    <row r="519" spans="2:2" ht="12" customHeight="1">
      <c r="B519" s="524"/>
    </row>
    <row r="520" spans="2:2" ht="12" customHeight="1">
      <c r="B520" s="524"/>
    </row>
    <row r="521" spans="2:2" ht="12" customHeight="1">
      <c r="B521" s="524"/>
    </row>
    <row r="522" spans="2:2" ht="12" customHeight="1">
      <c r="B522" s="524"/>
    </row>
    <row r="523" spans="2:2" ht="12" customHeight="1">
      <c r="B523" s="524"/>
    </row>
    <row r="524" spans="2:2" ht="12" customHeight="1">
      <c r="B524" s="524"/>
    </row>
    <row r="525" spans="2:2" ht="12" customHeight="1">
      <c r="B525" s="524"/>
    </row>
    <row r="526" spans="2:2" ht="12" customHeight="1">
      <c r="B526" s="524"/>
    </row>
    <row r="527" spans="2:2" ht="12" customHeight="1">
      <c r="B527" s="524"/>
    </row>
    <row r="528" spans="2:2" ht="12" customHeight="1">
      <c r="B528" s="524"/>
    </row>
    <row r="529" spans="2:2" ht="12" customHeight="1">
      <c r="B529" s="524"/>
    </row>
    <row r="530" spans="2:2" ht="12" customHeight="1">
      <c r="B530" s="524"/>
    </row>
    <row r="531" spans="2:2" ht="12" customHeight="1">
      <c r="B531" s="524"/>
    </row>
    <row r="532" spans="2:2" ht="12" customHeight="1">
      <c r="B532" s="524"/>
    </row>
    <row r="533" spans="2:2" ht="12" customHeight="1">
      <c r="B533" s="524"/>
    </row>
    <row r="534" spans="2:2" ht="12" customHeight="1">
      <c r="B534" s="524"/>
    </row>
    <row r="535" spans="2:2" ht="12" customHeight="1">
      <c r="B535" s="524"/>
    </row>
    <row r="536" spans="2:2" ht="12" customHeight="1">
      <c r="B536" s="524"/>
    </row>
    <row r="537" spans="2:2" ht="12" customHeight="1">
      <c r="B537" s="524"/>
    </row>
    <row r="538" spans="2:2" ht="12" customHeight="1">
      <c r="B538" s="524"/>
    </row>
    <row r="539" spans="2:2" ht="12" customHeight="1">
      <c r="B539" s="524"/>
    </row>
    <row r="540" spans="2:2" ht="12" customHeight="1">
      <c r="B540" s="524"/>
    </row>
    <row r="541" spans="2:2" ht="12" customHeight="1">
      <c r="B541" s="524"/>
    </row>
    <row r="542" spans="2:2" ht="12" customHeight="1">
      <c r="B542" s="524"/>
    </row>
    <row r="543" spans="2:2" ht="12" customHeight="1">
      <c r="B543" s="524"/>
    </row>
    <row r="544" spans="2:2" ht="12" customHeight="1">
      <c r="B544" s="524"/>
    </row>
    <row r="545" spans="2:2" ht="12" customHeight="1">
      <c r="B545" s="524"/>
    </row>
    <row r="546" spans="2:2" ht="12" customHeight="1">
      <c r="B546" s="524"/>
    </row>
    <row r="547" spans="2:2" ht="12" customHeight="1">
      <c r="B547" s="524"/>
    </row>
    <row r="548" spans="2:2" ht="12" customHeight="1">
      <c r="B548" s="524"/>
    </row>
    <row r="549" spans="2:2" ht="12" customHeight="1">
      <c r="B549" s="524"/>
    </row>
    <row r="550" spans="2:2" ht="12" customHeight="1">
      <c r="B550" s="524"/>
    </row>
    <row r="551" spans="2:2" ht="12" customHeight="1">
      <c r="B551" s="524"/>
    </row>
    <row r="552" spans="2:2" ht="12" customHeight="1">
      <c r="B552" s="524"/>
    </row>
    <row r="553" spans="2:2" ht="12" customHeight="1">
      <c r="B553" s="524"/>
    </row>
    <row r="554" spans="2:2" ht="12" customHeight="1">
      <c r="B554" s="524"/>
    </row>
    <row r="555" spans="2:2" ht="12" customHeight="1">
      <c r="B555" s="524"/>
    </row>
    <row r="556" spans="2:2" ht="12" customHeight="1">
      <c r="B556" s="524"/>
    </row>
    <row r="557" spans="2:2" ht="12" customHeight="1">
      <c r="B557" s="524"/>
    </row>
    <row r="558" spans="2:2" ht="12" customHeight="1">
      <c r="B558" s="524"/>
    </row>
    <row r="559" spans="2:2" ht="12" customHeight="1">
      <c r="B559" s="524"/>
    </row>
    <row r="560" spans="2:2" ht="12" customHeight="1">
      <c r="B560" s="524"/>
    </row>
    <row r="561" spans="2:2" ht="12" customHeight="1">
      <c r="B561" s="524"/>
    </row>
    <row r="562" spans="2:2" ht="12" customHeight="1">
      <c r="B562" s="524"/>
    </row>
    <row r="563" spans="2:2" ht="12" customHeight="1">
      <c r="B563" s="524"/>
    </row>
    <row r="564" spans="2:2" ht="12" customHeight="1">
      <c r="B564" s="524"/>
    </row>
    <row r="565" spans="2:2" ht="12" customHeight="1">
      <c r="B565" s="524"/>
    </row>
    <row r="566" spans="2:2" ht="12" customHeight="1">
      <c r="B566" s="524"/>
    </row>
    <row r="567" spans="2:2" ht="12" customHeight="1">
      <c r="B567" s="524"/>
    </row>
    <row r="568" spans="2:2" ht="12" customHeight="1">
      <c r="B568" s="524"/>
    </row>
    <row r="569" spans="2:2" ht="12" customHeight="1">
      <c r="B569" s="524"/>
    </row>
    <row r="570" spans="2:2" ht="12" customHeight="1">
      <c r="B570" s="524"/>
    </row>
    <row r="571" spans="2:2" ht="12" customHeight="1">
      <c r="B571" s="524"/>
    </row>
    <row r="572" spans="2:2" ht="12" customHeight="1">
      <c r="B572" s="524"/>
    </row>
    <row r="573" spans="2:2" ht="12" customHeight="1">
      <c r="B573" s="524"/>
    </row>
    <row r="574" spans="2:2" ht="12" customHeight="1">
      <c r="B574" s="524"/>
    </row>
    <row r="575" spans="2:2" ht="12" customHeight="1">
      <c r="B575" s="524"/>
    </row>
    <row r="576" spans="2:2" ht="12" customHeight="1">
      <c r="B576" s="524"/>
    </row>
    <row r="577" spans="2:2" ht="12" customHeight="1">
      <c r="B577" s="524"/>
    </row>
    <row r="578" spans="2:2" ht="12" customHeight="1">
      <c r="B578" s="524"/>
    </row>
    <row r="579" spans="2:2" ht="12" customHeight="1">
      <c r="B579" s="524"/>
    </row>
    <row r="580" spans="2:2" ht="12" customHeight="1">
      <c r="B580" s="524"/>
    </row>
    <row r="581" spans="2:2" ht="12" customHeight="1">
      <c r="B581" s="524"/>
    </row>
    <row r="582" spans="2:2" ht="12" customHeight="1">
      <c r="B582" s="524"/>
    </row>
    <row r="583" spans="2:2" ht="12" customHeight="1">
      <c r="B583" s="524"/>
    </row>
    <row r="584" spans="2:2" ht="12" customHeight="1">
      <c r="B584" s="524"/>
    </row>
    <row r="585" spans="2:2" ht="12" customHeight="1">
      <c r="B585" s="524"/>
    </row>
    <row r="586" spans="2:2" ht="12" customHeight="1">
      <c r="B586" s="524"/>
    </row>
    <row r="587" spans="2:2" ht="12" customHeight="1">
      <c r="B587" s="524"/>
    </row>
    <row r="588" spans="2:2" ht="12" customHeight="1">
      <c r="B588" s="524"/>
    </row>
    <row r="589" spans="2:2" ht="12" customHeight="1">
      <c r="B589" s="524"/>
    </row>
    <row r="590" spans="2:2" ht="12" customHeight="1">
      <c r="B590" s="524"/>
    </row>
    <row r="591" spans="2:2" ht="12" customHeight="1">
      <c r="B591" s="524"/>
    </row>
    <row r="592" spans="2:2" ht="12" customHeight="1">
      <c r="B592" s="524"/>
    </row>
    <row r="593" spans="2:2" ht="12" customHeight="1">
      <c r="B593" s="524"/>
    </row>
    <row r="594" spans="2:2" ht="12" customHeight="1">
      <c r="B594" s="524"/>
    </row>
    <row r="595" spans="2:2" ht="12" customHeight="1">
      <c r="B595" s="524"/>
    </row>
    <row r="596" spans="2:2" ht="12" customHeight="1">
      <c r="B596" s="524"/>
    </row>
    <row r="597" spans="2:2" ht="12" customHeight="1">
      <c r="B597" s="524"/>
    </row>
    <row r="598" spans="2:2" ht="12" customHeight="1">
      <c r="B598" s="524"/>
    </row>
    <row r="599" spans="2:2" ht="12" customHeight="1">
      <c r="B599" s="524"/>
    </row>
    <row r="600" spans="2:2" ht="12" customHeight="1">
      <c r="B600" s="524"/>
    </row>
    <row r="601" spans="2:2" ht="12" customHeight="1">
      <c r="B601" s="524"/>
    </row>
    <row r="602" spans="2:2" ht="12" customHeight="1">
      <c r="B602" s="524"/>
    </row>
    <row r="603" spans="2:2" ht="12" customHeight="1">
      <c r="B603" s="524"/>
    </row>
    <row r="604" spans="2:2" ht="12" customHeight="1">
      <c r="B604" s="524"/>
    </row>
    <row r="605" spans="2:2" ht="12" customHeight="1">
      <c r="B605" s="524"/>
    </row>
    <row r="606" spans="2:2" ht="12" customHeight="1">
      <c r="B606" s="524"/>
    </row>
    <row r="607" spans="2:2" ht="12" customHeight="1">
      <c r="B607" s="524"/>
    </row>
    <row r="608" spans="2:2" ht="12" customHeight="1">
      <c r="B608" s="524"/>
    </row>
    <row r="609" spans="2:2" ht="12" customHeight="1">
      <c r="B609" s="524"/>
    </row>
    <row r="610" spans="2:2" ht="12" customHeight="1">
      <c r="B610" s="524"/>
    </row>
    <row r="611" spans="2:2" ht="12" customHeight="1">
      <c r="B611" s="524"/>
    </row>
    <row r="612" spans="2:2" ht="12" customHeight="1">
      <c r="B612" s="524"/>
    </row>
    <row r="613" spans="2:2" ht="12" customHeight="1">
      <c r="B613" s="524"/>
    </row>
    <row r="614" spans="2:2" ht="12" customHeight="1">
      <c r="B614" s="524"/>
    </row>
    <row r="615" spans="2:2" ht="12" customHeight="1">
      <c r="B615" s="524"/>
    </row>
    <row r="616" spans="2:2" ht="12" customHeight="1">
      <c r="B616" s="524"/>
    </row>
    <row r="617" spans="2:2" ht="12" customHeight="1">
      <c r="B617" s="524"/>
    </row>
    <row r="618" spans="2:2" ht="12" customHeight="1">
      <c r="B618" s="524"/>
    </row>
    <row r="619" spans="2:2" ht="12" customHeight="1">
      <c r="B619" s="524"/>
    </row>
    <row r="620" spans="2:2" ht="12" customHeight="1">
      <c r="B620" s="524"/>
    </row>
    <row r="621" spans="2:2" ht="12" customHeight="1">
      <c r="B621" s="524"/>
    </row>
    <row r="622" spans="2:2" ht="12" customHeight="1">
      <c r="B622" s="524"/>
    </row>
    <row r="623" spans="2:2" ht="12" customHeight="1">
      <c r="B623" s="524"/>
    </row>
    <row r="624" spans="2:2" ht="12" customHeight="1">
      <c r="B624" s="524"/>
    </row>
    <row r="625" spans="2:2" ht="12" customHeight="1">
      <c r="B625" s="524"/>
    </row>
    <row r="626" spans="2:2" ht="12" customHeight="1">
      <c r="B626" s="524"/>
    </row>
    <row r="627" spans="2:2" ht="12" customHeight="1">
      <c r="B627" s="524"/>
    </row>
    <row r="628" spans="2:2" ht="12" customHeight="1">
      <c r="B628" s="524"/>
    </row>
    <row r="629" spans="2:2" ht="12" customHeight="1">
      <c r="B629" s="524"/>
    </row>
    <row r="630" spans="2:2" ht="12" customHeight="1">
      <c r="B630" s="524"/>
    </row>
    <row r="631" spans="2:2" ht="12" customHeight="1">
      <c r="B631" s="524"/>
    </row>
    <row r="632" spans="2:2" ht="12" customHeight="1">
      <c r="B632" s="524"/>
    </row>
    <row r="633" spans="2:2" ht="12" customHeight="1">
      <c r="B633" s="524"/>
    </row>
    <row r="634" spans="2:2" ht="12" customHeight="1">
      <c r="B634" s="524"/>
    </row>
    <row r="635" spans="2:2" ht="12" customHeight="1">
      <c r="B635" s="524"/>
    </row>
    <row r="636" spans="2:2" ht="12" customHeight="1">
      <c r="B636" s="524"/>
    </row>
    <row r="637" spans="2:2" ht="12" customHeight="1">
      <c r="B637" s="524"/>
    </row>
    <row r="638" spans="2:2" ht="12" customHeight="1">
      <c r="B638" s="524"/>
    </row>
    <row r="639" spans="2:2" ht="12" customHeight="1">
      <c r="B639" s="524"/>
    </row>
    <row r="640" spans="2:2" ht="12" customHeight="1">
      <c r="B640" s="524"/>
    </row>
    <row r="641" spans="2:2" ht="12" customHeight="1">
      <c r="B641" s="524"/>
    </row>
    <row r="642" spans="2:2" ht="12" customHeight="1">
      <c r="B642" s="524"/>
    </row>
    <row r="643" spans="2:2" ht="12" customHeight="1">
      <c r="B643" s="524"/>
    </row>
    <row r="644" spans="2:2" ht="12" customHeight="1">
      <c r="B644" s="524"/>
    </row>
    <row r="645" spans="2:2" ht="12" customHeight="1">
      <c r="B645" s="524"/>
    </row>
    <row r="646" spans="2:2" ht="12" customHeight="1">
      <c r="B646" s="524"/>
    </row>
    <row r="647" spans="2:2" ht="12" customHeight="1">
      <c r="B647" s="524"/>
    </row>
    <row r="648" spans="2:2" ht="12" customHeight="1">
      <c r="B648" s="524"/>
    </row>
    <row r="649" spans="2:2" ht="12" customHeight="1">
      <c r="B649" s="524"/>
    </row>
    <row r="650" spans="2:2" ht="12" customHeight="1">
      <c r="B650" s="524"/>
    </row>
    <row r="651" spans="2:2" ht="12" customHeight="1">
      <c r="B651" s="524"/>
    </row>
    <row r="652" spans="2:2" ht="12" customHeight="1">
      <c r="B652" s="524"/>
    </row>
    <row r="653" spans="2:2" ht="12" customHeight="1">
      <c r="B653" s="524"/>
    </row>
    <row r="654" spans="2:2" ht="12" customHeight="1">
      <c r="B654" s="524"/>
    </row>
    <row r="655" spans="2:2" ht="12" customHeight="1">
      <c r="B655" s="524"/>
    </row>
    <row r="656" spans="2:2" ht="12" customHeight="1">
      <c r="B656" s="524"/>
    </row>
    <row r="657" spans="2:2" ht="12" customHeight="1">
      <c r="B657" s="524"/>
    </row>
    <row r="658" spans="2:2" ht="12" customHeight="1">
      <c r="B658" s="524"/>
    </row>
    <row r="659" spans="2:2" ht="12" customHeight="1">
      <c r="B659" s="524"/>
    </row>
    <row r="660" spans="2:2" ht="12" customHeight="1">
      <c r="B660" s="524"/>
    </row>
    <row r="661" spans="2:2" ht="12" customHeight="1">
      <c r="B661" s="524"/>
    </row>
    <row r="662" spans="2:2" ht="12" customHeight="1">
      <c r="B662" s="524"/>
    </row>
    <row r="663" spans="2:2" ht="12" customHeight="1">
      <c r="B663" s="524"/>
    </row>
    <row r="664" spans="2:2" ht="12" customHeight="1">
      <c r="B664" s="524"/>
    </row>
    <row r="665" spans="2:2" ht="12" customHeight="1">
      <c r="B665" s="524"/>
    </row>
    <row r="666" spans="2:2" ht="12" customHeight="1">
      <c r="B666" s="524"/>
    </row>
    <row r="667" spans="2:2" ht="12" customHeight="1">
      <c r="B667" s="524"/>
    </row>
    <row r="668" spans="2:2" ht="12" customHeight="1">
      <c r="B668" s="524"/>
    </row>
    <row r="669" spans="2:2" ht="12" customHeight="1">
      <c r="B669" s="524"/>
    </row>
    <row r="670" spans="2:2" ht="12" customHeight="1">
      <c r="B670" s="524"/>
    </row>
    <row r="671" spans="2:2" ht="12" customHeight="1">
      <c r="B671" s="524"/>
    </row>
    <row r="672" spans="2:2" ht="12" customHeight="1">
      <c r="B672" s="524"/>
    </row>
    <row r="673" spans="2:2" ht="12" customHeight="1">
      <c r="B673" s="524"/>
    </row>
    <row r="674" spans="2:2" ht="12" customHeight="1">
      <c r="B674" s="524"/>
    </row>
    <row r="675" spans="2:2" ht="12" customHeight="1">
      <c r="B675" s="524"/>
    </row>
    <row r="676" spans="2:2" ht="12" customHeight="1">
      <c r="B676" s="524"/>
    </row>
    <row r="677" spans="2:2" ht="12" customHeight="1">
      <c r="B677" s="524"/>
    </row>
    <row r="678" spans="2:2" ht="12" customHeight="1">
      <c r="B678" s="524"/>
    </row>
    <row r="679" spans="2:2" ht="12" customHeight="1">
      <c r="B679" s="524"/>
    </row>
    <row r="680" spans="2:2" ht="12" customHeight="1">
      <c r="B680" s="524"/>
    </row>
    <row r="681" spans="2:2" ht="12" customHeight="1">
      <c r="B681" s="524"/>
    </row>
    <row r="682" spans="2:2" ht="12" customHeight="1">
      <c r="B682" s="524"/>
    </row>
    <row r="683" spans="2:2" ht="12" customHeight="1">
      <c r="B683" s="524"/>
    </row>
    <row r="684" spans="2:2" ht="12" customHeight="1">
      <c r="B684" s="524"/>
    </row>
    <row r="685" spans="2:2" ht="12" customHeight="1">
      <c r="B685" s="524"/>
    </row>
    <row r="686" spans="2:2" ht="12" customHeight="1">
      <c r="B686" s="524"/>
    </row>
    <row r="687" spans="2:2" ht="12" customHeight="1">
      <c r="B687" s="524"/>
    </row>
    <row r="688" spans="2:2" ht="12" customHeight="1">
      <c r="B688" s="524"/>
    </row>
    <row r="689" spans="2:2" ht="12" customHeight="1">
      <c r="B689" s="524"/>
    </row>
    <row r="690" spans="2:2" ht="12" customHeight="1">
      <c r="B690" s="524"/>
    </row>
    <row r="691" spans="2:2" ht="12" customHeight="1">
      <c r="B691" s="524"/>
    </row>
    <row r="692" spans="2:2" ht="12" customHeight="1">
      <c r="B692" s="524"/>
    </row>
    <row r="693" spans="2:2" ht="12" customHeight="1">
      <c r="B693" s="524"/>
    </row>
    <row r="694" spans="2:2" ht="12" customHeight="1">
      <c r="B694" s="524"/>
    </row>
    <row r="695" spans="2:2" ht="12" customHeight="1">
      <c r="B695" s="524"/>
    </row>
    <row r="696" spans="2:2" ht="12" customHeight="1">
      <c r="B696" s="524"/>
    </row>
    <row r="697" spans="2:2" ht="12" customHeight="1">
      <c r="B697" s="524"/>
    </row>
    <row r="698" spans="2:2" ht="12" customHeight="1">
      <c r="B698" s="524"/>
    </row>
    <row r="699" spans="2:2" ht="12" customHeight="1">
      <c r="B699" s="524"/>
    </row>
    <row r="700" spans="2:2" ht="12" customHeight="1">
      <c r="B700" s="524"/>
    </row>
    <row r="701" spans="2:2" ht="12" customHeight="1">
      <c r="B701" s="524"/>
    </row>
    <row r="702" spans="2:2" ht="12" customHeight="1">
      <c r="B702" s="524"/>
    </row>
    <row r="703" spans="2:2" ht="12" customHeight="1">
      <c r="B703" s="524"/>
    </row>
    <row r="704" spans="2:2" ht="12" customHeight="1">
      <c r="B704" s="524"/>
    </row>
    <row r="705" spans="2:2" ht="12" customHeight="1">
      <c r="B705" s="524"/>
    </row>
    <row r="706" spans="2:2" ht="12" customHeight="1">
      <c r="B706" s="524"/>
    </row>
    <row r="707" spans="2:2" ht="12" customHeight="1">
      <c r="B707" s="524"/>
    </row>
    <row r="708" spans="2:2" ht="12" customHeight="1">
      <c r="B708" s="524"/>
    </row>
    <row r="709" spans="2:2" ht="12" customHeight="1">
      <c r="B709" s="524"/>
    </row>
    <row r="710" spans="2:2" ht="12" customHeight="1">
      <c r="B710" s="524"/>
    </row>
    <row r="711" spans="2:2" ht="12" customHeight="1">
      <c r="B711" s="524"/>
    </row>
    <row r="712" spans="2:2" ht="12" customHeight="1">
      <c r="B712" s="524"/>
    </row>
    <row r="713" spans="2:2" ht="12" customHeight="1">
      <c r="B713" s="524"/>
    </row>
    <row r="714" spans="2:2" ht="12" customHeight="1">
      <c r="B714" s="524"/>
    </row>
    <row r="715" spans="2:2" ht="12" customHeight="1">
      <c r="B715" s="524"/>
    </row>
    <row r="716" spans="2:2" ht="12" customHeight="1">
      <c r="B716" s="524"/>
    </row>
    <row r="717" spans="2:2" ht="12" customHeight="1">
      <c r="B717" s="524"/>
    </row>
    <row r="718" spans="2:2" ht="12" customHeight="1">
      <c r="B718" s="524"/>
    </row>
    <row r="719" spans="2:2" ht="12" customHeight="1">
      <c r="B719" s="524"/>
    </row>
    <row r="720" spans="2:2" ht="12" customHeight="1">
      <c r="B720" s="524"/>
    </row>
    <row r="721" spans="2:2" ht="12" customHeight="1">
      <c r="B721" s="524"/>
    </row>
    <row r="722" spans="2:2" ht="12" customHeight="1">
      <c r="B722" s="524"/>
    </row>
    <row r="723" spans="2:2" ht="12" customHeight="1">
      <c r="B723" s="524"/>
    </row>
    <row r="724" spans="2:2" ht="12" customHeight="1">
      <c r="B724" s="524"/>
    </row>
    <row r="725" spans="2:2" ht="12" customHeight="1">
      <c r="B725" s="524"/>
    </row>
    <row r="726" spans="2:2" ht="12" customHeight="1">
      <c r="B726" s="524"/>
    </row>
    <row r="727" spans="2:2" ht="12" customHeight="1">
      <c r="B727" s="524"/>
    </row>
    <row r="728" spans="2:2" ht="12" customHeight="1">
      <c r="B728" s="524"/>
    </row>
    <row r="729" spans="2:2" ht="12" customHeight="1">
      <c r="B729" s="524"/>
    </row>
    <row r="730" spans="2:2" ht="12" customHeight="1">
      <c r="B730" s="524"/>
    </row>
    <row r="731" spans="2:2" ht="12" customHeight="1">
      <c r="B731" s="524"/>
    </row>
    <row r="732" spans="2:2" ht="12" customHeight="1">
      <c r="B732" s="524"/>
    </row>
    <row r="733" spans="2:2" ht="12" customHeight="1">
      <c r="B733" s="524"/>
    </row>
    <row r="734" spans="2:2" ht="12" customHeight="1">
      <c r="B734" s="524"/>
    </row>
    <row r="735" spans="2:2" ht="12" customHeight="1">
      <c r="B735" s="524"/>
    </row>
    <row r="736" spans="2:2" ht="12" customHeight="1">
      <c r="B736" s="524"/>
    </row>
    <row r="737" spans="2:2" ht="12" customHeight="1">
      <c r="B737" s="524"/>
    </row>
    <row r="738" spans="2:2" ht="12" customHeight="1">
      <c r="B738" s="524"/>
    </row>
    <row r="739" spans="2:2" ht="12" customHeight="1">
      <c r="B739" s="524"/>
    </row>
    <row r="740" spans="2:2" ht="12" customHeight="1">
      <c r="B740" s="524"/>
    </row>
    <row r="741" spans="2:2" ht="12" customHeight="1">
      <c r="B741" s="524"/>
    </row>
    <row r="742" spans="2:2" ht="12" customHeight="1">
      <c r="B742" s="524"/>
    </row>
    <row r="743" spans="2:2" ht="12" customHeight="1">
      <c r="B743" s="524"/>
    </row>
    <row r="744" spans="2:2" ht="12" customHeight="1">
      <c r="B744" s="524"/>
    </row>
    <row r="745" spans="2:2" ht="12" customHeight="1">
      <c r="B745" s="524"/>
    </row>
    <row r="746" spans="2:2" ht="12" customHeight="1">
      <c r="B746" s="524"/>
    </row>
    <row r="747" spans="2:2" ht="12" customHeight="1">
      <c r="B747" s="524"/>
    </row>
    <row r="748" spans="2:2" ht="12" customHeight="1">
      <c r="B748" s="524"/>
    </row>
    <row r="749" spans="2:2" ht="12" customHeight="1">
      <c r="B749" s="524"/>
    </row>
    <row r="750" spans="2:2" ht="12" customHeight="1">
      <c r="B750" s="524"/>
    </row>
    <row r="751" spans="2:2" ht="12" customHeight="1">
      <c r="B751" s="524"/>
    </row>
    <row r="752" spans="2:2" ht="12" customHeight="1">
      <c r="B752" s="524"/>
    </row>
    <row r="753" spans="2:2" ht="12" customHeight="1">
      <c r="B753" s="524"/>
    </row>
    <row r="754" spans="2:2" ht="12" customHeight="1">
      <c r="B754" s="524"/>
    </row>
    <row r="755" spans="2:2" ht="12" customHeight="1">
      <c r="B755" s="524"/>
    </row>
    <row r="756" spans="2:2" ht="12" customHeight="1">
      <c r="B756" s="524"/>
    </row>
    <row r="757" spans="2:2" ht="12" customHeight="1">
      <c r="B757" s="524"/>
    </row>
    <row r="758" spans="2:2" ht="12" customHeight="1">
      <c r="B758" s="524"/>
    </row>
    <row r="759" spans="2:2" ht="12" customHeight="1">
      <c r="B759" s="524"/>
    </row>
    <row r="760" spans="2:2" ht="12" customHeight="1">
      <c r="B760" s="524"/>
    </row>
    <row r="761" spans="2:2" ht="12" customHeight="1">
      <c r="B761" s="524"/>
    </row>
    <row r="762" spans="2:2" ht="12" customHeight="1">
      <c r="B762" s="524"/>
    </row>
    <row r="763" spans="2:2" ht="12" customHeight="1">
      <c r="B763" s="524"/>
    </row>
    <row r="764" spans="2:2" ht="12" customHeight="1">
      <c r="B764" s="524"/>
    </row>
    <row r="765" spans="2:2" ht="12" customHeight="1">
      <c r="B765" s="524"/>
    </row>
    <row r="766" spans="2:2" ht="12" customHeight="1">
      <c r="B766" s="524"/>
    </row>
    <row r="767" spans="2:2" ht="12" customHeight="1">
      <c r="B767" s="524"/>
    </row>
    <row r="768" spans="2:2" ht="12" customHeight="1">
      <c r="B768" s="524"/>
    </row>
    <row r="769" spans="2:2" ht="12" customHeight="1">
      <c r="B769" s="524"/>
    </row>
    <row r="770" spans="2:2" ht="12" customHeight="1">
      <c r="B770" s="524"/>
    </row>
    <row r="771" spans="2:2" ht="12" customHeight="1">
      <c r="B771" s="524"/>
    </row>
    <row r="772" spans="2:2" ht="12" customHeight="1">
      <c r="B772" s="524"/>
    </row>
    <row r="773" spans="2:2" ht="12" customHeight="1">
      <c r="B773" s="524"/>
    </row>
    <row r="774" spans="2:2" ht="12" customHeight="1">
      <c r="B774" s="524"/>
    </row>
    <row r="775" spans="2:2" ht="12" customHeight="1">
      <c r="B775" s="524"/>
    </row>
    <row r="776" spans="2:2" ht="12" customHeight="1">
      <c r="B776" s="524"/>
    </row>
    <row r="777" spans="2:2" ht="12" customHeight="1">
      <c r="B777" s="524"/>
    </row>
    <row r="778" spans="2:2" ht="12" customHeight="1">
      <c r="B778" s="524"/>
    </row>
    <row r="779" spans="2:2" ht="12" customHeight="1">
      <c r="B779" s="524"/>
    </row>
    <row r="780" spans="2:2" ht="12" customHeight="1">
      <c r="B780" s="524"/>
    </row>
    <row r="781" spans="2:2" ht="12" customHeight="1">
      <c r="B781" s="524"/>
    </row>
    <row r="782" spans="2:2" ht="12" customHeight="1">
      <c r="B782" s="524"/>
    </row>
    <row r="783" spans="2:2" ht="12" customHeight="1">
      <c r="B783" s="524"/>
    </row>
    <row r="784" spans="2:2" ht="12" customHeight="1">
      <c r="B784" s="524"/>
    </row>
    <row r="785" spans="2:2" ht="12" customHeight="1">
      <c r="B785" s="524"/>
    </row>
    <row r="786" spans="2:2" ht="12" customHeight="1">
      <c r="B786" s="524"/>
    </row>
    <row r="787" spans="2:2" ht="12" customHeight="1">
      <c r="B787" s="524"/>
    </row>
    <row r="788" spans="2:2" ht="12" customHeight="1">
      <c r="B788" s="524"/>
    </row>
    <row r="789" spans="2:2" ht="12" customHeight="1">
      <c r="B789" s="524"/>
    </row>
    <row r="790" spans="2:2" ht="12" customHeight="1">
      <c r="B790" s="524"/>
    </row>
    <row r="791" spans="2:2" ht="12" customHeight="1">
      <c r="B791" s="524"/>
    </row>
    <row r="792" spans="2:2" ht="12" customHeight="1">
      <c r="B792" s="524"/>
    </row>
    <row r="793" spans="2:2" ht="12" customHeight="1">
      <c r="B793" s="524"/>
    </row>
    <row r="794" spans="2:2" ht="12" customHeight="1">
      <c r="B794" s="524"/>
    </row>
    <row r="795" spans="2:2" ht="12" customHeight="1">
      <c r="B795" s="524"/>
    </row>
    <row r="796" spans="2:2" ht="12" customHeight="1">
      <c r="B796" s="524"/>
    </row>
    <row r="797" spans="2:2" ht="12" customHeight="1">
      <c r="B797" s="524"/>
    </row>
    <row r="798" spans="2:2" ht="12" customHeight="1">
      <c r="B798" s="524"/>
    </row>
    <row r="799" spans="2:2" ht="12" customHeight="1">
      <c r="B799" s="524"/>
    </row>
    <row r="800" spans="2:2" ht="12" customHeight="1">
      <c r="B800" s="524"/>
    </row>
    <row r="801" spans="2:2" ht="12" customHeight="1">
      <c r="B801" s="524"/>
    </row>
    <row r="802" spans="2:2" ht="12" customHeight="1">
      <c r="B802" s="524"/>
    </row>
    <row r="803" spans="2:2" ht="12" customHeight="1">
      <c r="B803" s="524"/>
    </row>
    <row r="804" spans="2:2" ht="12" customHeight="1">
      <c r="B804" s="524"/>
    </row>
    <row r="805" spans="2:2" ht="12" customHeight="1">
      <c r="B805" s="524"/>
    </row>
    <row r="806" spans="2:2" ht="12" customHeight="1">
      <c r="B806" s="524"/>
    </row>
    <row r="807" spans="2:2" ht="12" customHeight="1">
      <c r="B807" s="524"/>
    </row>
    <row r="808" spans="2:2" ht="12" customHeight="1">
      <c r="B808" s="524"/>
    </row>
    <row r="809" spans="2:2" ht="12" customHeight="1">
      <c r="B809" s="524"/>
    </row>
    <row r="810" spans="2:2" ht="12" customHeight="1">
      <c r="B810" s="524"/>
    </row>
    <row r="811" spans="2:2" ht="12" customHeight="1">
      <c r="B811" s="524"/>
    </row>
    <row r="812" spans="2:2" ht="12" customHeight="1">
      <c r="B812" s="524"/>
    </row>
    <row r="813" spans="2:2" ht="12" customHeight="1">
      <c r="B813" s="524"/>
    </row>
    <row r="814" spans="2:2" ht="12" customHeight="1">
      <c r="B814" s="524"/>
    </row>
    <row r="815" spans="2:2" ht="12" customHeight="1">
      <c r="B815" s="524"/>
    </row>
    <row r="816" spans="2:2" ht="12" customHeight="1">
      <c r="B816" s="524"/>
    </row>
    <row r="817" spans="2:2" ht="12" customHeight="1">
      <c r="B817" s="524"/>
    </row>
    <row r="818" spans="2:2" ht="12" customHeight="1">
      <c r="B818" s="524"/>
    </row>
    <row r="819" spans="2:2" ht="12" customHeight="1">
      <c r="B819" s="524"/>
    </row>
    <row r="820" spans="2:2" ht="12" customHeight="1">
      <c r="B820" s="524"/>
    </row>
    <row r="821" spans="2:2" ht="12" customHeight="1">
      <c r="B821" s="524"/>
    </row>
    <row r="822" spans="2:2" ht="12" customHeight="1">
      <c r="B822" s="524"/>
    </row>
    <row r="823" spans="2:2" ht="12" customHeight="1">
      <c r="B823" s="524"/>
    </row>
    <row r="824" spans="2:2" ht="12" customHeight="1">
      <c r="B824" s="524"/>
    </row>
    <row r="825" spans="2:2" ht="12" customHeight="1">
      <c r="B825" s="524"/>
    </row>
    <row r="826" spans="2:2" ht="12" customHeight="1">
      <c r="B826" s="524"/>
    </row>
    <row r="827" spans="2:2" ht="12" customHeight="1">
      <c r="B827" s="524"/>
    </row>
    <row r="828" spans="2:2" ht="12" customHeight="1">
      <c r="B828" s="524"/>
    </row>
    <row r="829" spans="2:2" ht="12" customHeight="1">
      <c r="B829" s="524"/>
    </row>
    <row r="830" spans="2:2" ht="12" customHeight="1">
      <c r="B830" s="524"/>
    </row>
    <row r="831" spans="2:2" ht="12" customHeight="1">
      <c r="B831" s="524"/>
    </row>
    <row r="832" spans="2:2" ht="12" customHeight="1">
      <c r="B832" s="524"/>
    </row>
    <row r="833" spans="2:2" ht="12" customHeight="1">
      <c r="B833" s="524"/>
    </row>
    <row r="834" spans="2:2" ht="12" customHeight="1">
      <c r="B834" s="524"/>
    </row>
    <row r="835" spans="2:2" ht="12" customHeight="1">
      <c r="B835" s="524"/>
    </row>
    <row r="836" spans="2:2" ht="12" customHeight="1">
      <c r="B836" s="524"/>
    </row>
    <row r="837" spans="2:2" ht="12" customHeight="1">
      <c r="B837" s="524"/>
    </row>
    <row r="838" spans="2:2" ht="12" customHeight="1">
      <c r="B838" s="524"/>
    </row>
    <row r="839" spans="2:2" ht="12" customHeight="1">
      <c r="B839" s="524"/>
    </row>
    <row r="840" spans="2:2" ht="12" customHeight="1">
      <c r="B840" s="524"/>
    </row>
    <row r="841" spans="2:2" ht="12" customHeight="1">
      <c r="B841" s="524"/>
    </row>
    <row r="842" spans="2:2" ht="12" customHeight="1">
      <c r="B842" s="524"/>
    </row>
    <row r="843" spans="2:2" ht="12" customHeight="1">
      <c r="B843" s="524"/>
    </row>
    <row r="844" spans="2:2" ht="12" customHeight="1">
      <c r="B844" s="524"/>
    </row>
    <row r="845" spans="2:2" ht="12" customHeight="1">
      <c r="B845" s="524"/>
    </row>
    <row r="846" spans="2:2" ht="12" customHeight="1">
      <c r="B846" s="524"/>
    </row>
    <row r="847" spans="2:2" ht="12" customHeight="1">
      <c r="B847" s="524"/>
    </row>
    <row r="848" spans="2:2" ht="12" customHeight="1">
      <c r="B848" s="524"/>
    </row>
    <row r="849" spans="2:2" ht="12" customHeight="1">
      <c r="B849" s="524"/>
    </row>
    <row r="850" spans="2:2" ht="12" customHeight="1">
      <c r="B850" s="524"/>
    </row>
    <row r="851" spans="2:2" ht="12" customHeight="1">
      <c r="B851" s="524"/>
    </row>
    <row r="852" spans="2:2" ht="12" customHeight="1">
      <c r="B852" s="524"/>
    </row>
    <row r="853" spans="2:2" ht="12" customHeight="1">
      <c r="B853" s="524"/>
    </row>
    <row r="854" spans="2:2" ht="12" customHeight="1">
      <c r="B854" s="524"/>
    </row>
    <row r="855" spans="2:2" ht="12" customHeight="1">
      <c r="B855" s="524"/>
    </row>
    <row r="856" spans="2:2" ht="12" customHeight="1">
      <c r="B856" s="524"/>
    </row>
    <row r="857" spans="2:2" ht="12" customHeight="1">
      <c r="B857" s="524"/>
    </row>
    <row r="858" spans="2:2" ht="12" customHeight="1">
      <c r="B858" s="524"/>
    </row>
    <row r="859" spans="2:2" ht="12" customHeight="1">
      <c r="B859" s="524"/>
    </row>
    <row r="860" spans="2:2" ht="12" customHeight="1">
      <c r="B860" s="524"/>
    </row>
    <row r="861" spans="2:2" ht="12" customHeight="1">
      <c r="B861" s="524"/>
    </row>
    <row r="862" spans="2:2" ht="12" customHeight="1">
      <c r="B862" s="524"/>
    </row>
    <row r="863" spans="2:2" ht="12" customHeight="1">
      <c r="B863" s="524"/>
    </row>
    <row r="864" spans="2:2" ht="12" customHeight="1">
      <c r="B864" s="524"/>
    </row>
    <row r="865" spans="2:2" ht="12" customHeight="1">
      <c r="B865" s="524"/>
    </row>
    <row r="866" spans="2:2" ht="12" customHeight="1">
      <c r="B866" s="524"/>
    </row>
    <row r="867" spans="2:2" ht="12" customHeight="1">
      <c r="B867" s="524"/>
    </row>
    <row r="868" spans="2:2" ht="12" customHeight="1">
      <c r="B868" s="524"/>
    </row>
    <row r="869" spans="2:2" ht="12" customHeight="1">
      <c r="B869" s="524"/>
    </row>
    <row r="870" spans="2:2" ht="12" customHeight="1">
      <c r="B870" s="524"/>
    </row>
    <row r="871" spans="2:2" ht="12" customHeight="1">
      <c r="B871" s="524"/>
    </row>
    <row r="872" spans="2:2" ht="12" customHeight="1">
      <c r="B872" s="524"/>
    </row>
    <row r="873" spans="2:2" ht="12" customHeight="1">
      <c r="B873" s="524"/>
    </row>
    <row r="874" spans="2:2" ht="12" customHeight="1">
      <c r="B874" s="524"/>
    </row>
    <row r="875" spans="2:2" ht="12" customHeight="1">
      <c r="B875" s="524"/>
    </row>
    <row r="876" spans="2:2" ht="12" customHeight="1">
      <c r="B876" s="524"/>
    </row>
    <row r="877" spans="2:2" ht="12" customHeight="1">
      <c r="B877" s="524"/>
    </row>
    <row r="878" spans="2:2" ht="12" customHeight="1">
      <c r="B878" s="524"/>
    </row>
    <row r="879" spans="2:2" ht="12" customHeight="1">
      <c r="B879" s="524"/>
    </row>
    <row r="880" spans="2:2" ht="12" customHeight="1">
      <c r="B880" s="524"/>
    </row>
    <row r="881" spans="2:2" ht="12" customHeight="1">
      <c r="B881" s="524"/>
    </row>
    <row r="882" spans="2:2" ht="12" customHeight="1">
      <c r="B882" s="524"/>
    </row>
    <row r="883" spans="2:2" ht="12" customHeight="1">
      <c r="B883" s="524"/>
    </row>
    <row r="884" spans="2:2" ht="12" customHeight="1">
      <c r="B884" s="524"/>
    </row>
    <row r="885" spans="2:2" ht="12" customHeight="1">
      <c r="B885" s="524"/>
    </row>
    <row r="886" spans="2:2" ht="12" customHeight="1">
      <c r="B886" s="524"/>
    </row>
    <row r="887" spans="2:2" ht="12" customHeight="1">
      <c r="B887" s="524"/>
    </row>
    <row r="888" spans="2:2" ht="12" customHeight="1">
      <c r="B888" s="524"/>
    </row>
    <row r="889" spans="2:2" ht="12" customHeight="1">
      <c r="B889" s="524"/>
    </row>
    <row r="890" spans="2:2" ht="12" customHeight="1">
      <c r="B890" s="524"/>
    </row>
    <row r="891" spans="2:2" ht="12" customHeight="1">
      <c r="B891" s="524"/>
    </row>
    <row r="892" spans="2:2" ht="12" customHeight="1">
      <c r="B892" s="524"/>
    </row>
    <row r="893" spans="2:2" ht="12" customHeight="1">
      <c r="B893" s="524"/>
    </row>
    <row r="894" spans="2:2" ht="12" customHeight="1">
      <c r="B894" s="524"/>
    </row>
    <row r="895" spans="2:2" ht="12" customHeight="1">
      <c r="B895" s="524"/>
    </row>
    <row r="896" spans="2:2" ht="12" customHeight="1">
      <c r="B896" s="524"/>
    </row>
    <row r="897" spans="2:2" ht="12" customHeight="1">
      <c r="B897" s="524"/>
    </row>
    <row r="898" spans="2:2" ht="12" customHeight="1">
      <c r="B898" s="524"/>
    </row>
    <row r="899" spans="2:2" ht="12" customHeight="1">
      <c r="B899" s="524"/>
    </row>
    <row r="900" spans="2:2" ht="12" customHeight="1">
      <c r="B900" s="524"/>
    </row>
    <row r="901" spans="2:2" ht="12" customHeight="1">
      <c r="B901" s="524"/>
    </row>
    <row r="902" spans="2:2" ht="12" customHeight="1">
      <c r="B902" s="524"/>
    </row>
    <row r="903" spans="2:2" ht="12" customHeight="1">
      <c r="B903" s="524"/>
    </row>
    <row r="904" spans="2:2" ht="12" customHeight="1">
      <c r="B904" s="524"/>
    </row>
    <row r="905" spans="2:2" ht="12" customHeight="1">
      <c r="B905" s="524"/>
    </row>
    <row r="906" spans="2:2" ht="12" customHeight="1">
      <c r="B906" s="524"/>
    </row>
    <row r="907" spans="2:2" ht="12" customHeight="1">
      <c r="B907" s="524"/>
    </row>
    <row r="908" spans="2:2" ht="12" customHeight="1">
      <c r="B908" s="524"/>
    </row>
    <row r="909" spans="2:2" ht="12" customHeight="1">
      <c r="B909" s="524"/>
    </row>
    <row r="910" spans="2:2" ht="12" customHeight="1">
      <c r="B910" s="524"/>
    </row>
    <row r="911" spans="2:2" ht="12" customHeight="1">
      <c r="B911" s="524"/>
    </row>
    <row r="912" spans="2:2" ht="12" customHeight="1">
      <c r="B912" s="524"/>
    </row>
    <row r="913" spans="2:2" ht="12" customHeight="1">
      <c r="B913" s="524"/>
    </row>
    <row r="914" spans="2:2" ht="12" customHeight="1">
      <c r="B914" s="524"/>
    </row>
    <row r="915" spans="2:2" ht="12" customHeight="1">
      <c r="B915" s="524"/>
    </row>
    <row r="916" spans="2:2" ht="12" customHeight="1">
      <c r="B916" s="524"/>
    </row>
    <row r="917" spans="2:2" ht="12" customHeight="1">
      <c r="B917" s="524"/>
    </row>
    <row r="918" spans="2:2" ht="12" customHeight="1">
      <c r="B918" s="524"/>
    </row>
    <row r="919" spans="2:2" ht="12" customHeight="1">
      <c r="B919" s="524"/>
    </row>
    <row r="920" spans="2:2" ht="12" customHeight="1">
      <c r="B920" s="524"/>
    </row>
    <row r="921" spans="2:2" ht="12" customHeight="1">
      <c r="B921" s="524"/>
    </row>
    <row r="922" spans="2:2" ht="12" customHeight="1">
      <c r="B922" s="524"/>
    </row>
    <row r="923" spans="2:2" ht="12" customHeight="1">
      <c r="B923" s="524"/>
    </row>
    <row r="924" spans="2:2" ht="12" customHeight="1">
      <c r="B924" s="524"/>
    </row>
    <row r="925" spans="2:2" ht="12" customHeight="1">
      <c r="B925" s="524"/>
    </row>
    <row r="926" spans="2:2" ht="12" customHeight="1">
      <c r="B926" s="524"/>
    </row>
    <row r="927" spans="2:2" ht="12" customHeight="1">
      <c r="B927" s="524"/>
    </row>
    <row r="928" spans="2:2" ht="12" customHeight="1">
      <c r="B928" s="524"/>
    </row>
    <row r="929" spans="2:2" ht="12" customHeight="1">
      <c r="B929" s="524"/>
    </row>
    <row r="930" spans="2:2" ht="12" customHeight="1">
      <c r="B930" s="524"/>
    </row>
    <row r="931" spans="2:2" ht="12" customHeight="1">
      <c r="B931" s="524"/>
    </row>
    <row r="932" spans="2:2" ht="12" customHeight="1">
      <c r="B932" s="524"/>
    </row>
    <row r="933" spans="2:2" ht="12" customHeight="1">
      <c r="B933" s="524"/>
    </row>
    <row r="934" spans="2:2" ht="12" customHeight="1">
      <c r="B934" s="524"/>
    </row>
    <row r="935" spans="2:2" ht="12" customHeight="1">
      <c r="B935" s="524"/>
    </row>
    <row r="936" spans="2:2" ht="12" customHeight="1">
      <c r="B936" s="524"/>
    </row>
    <row r="937" spans="2:2" ht="12" customHeight="1">
      <c r="B937" s="524"/>
    </row>
    <row r="938" spans="2:2" ht="12" customHeight="1">
      <c r="B938" s="524"/>
    </row>
    <row r="939" spans="2:2" ht="12" customHeight="1">
      <c r="B939" s="524"/>
    </row>
    <row r="940" spans="2:2" ht="12" customHeight="1">
      <c r="B940" s="524"/>
    </row>
    <row r="941" spans="2:2" ht="12" customHeight="1">
      <c r="B941" s="524"/>
    </row>
    <row r="942" spans="2:2" ht="12" customHeight="1">
      <c r="B942" s="524"/>
    </row>
    <row r="943" spans="2:2" ht="12" customHeight="1">
      <c r="B943" s="524"/>
    </row>
    <row r="944" spans="2:2" ht="12" customHeight="1">
      <c r="B944" s="524"/>
    </row>
    <row r="945" spans="2:2" ht="12" customHeight="1">
      <c r="B945" s="524"/>
    </row>
    <row r="946" spans="2:2" ht="12" customHeight="1">
      <c r="B946" s="524"/>
    </row>
    <row r="947" spans="2:2" ht="12" customHeight="1">
      <c r="B947" s="524"/>
    </row>
    <row r="948" spans="2:2" ht="12" customHeight="1">
      <c r="B948" s="524"/>
    </row>
    <row r="949" spans="2:2" ht="12" customHeight="1">
      <c r="B949" s="524"/>
    </row>
    <row r="950" spans="2:2" ht="12" customHeight="1">
      <c r="B950" s="524"/>
    </row>
    <row r="951" spans="2:2" ht="12" customHeight="1">
      <c r="B951" s="524"/>
    </row>
    <row r="952" spans="2:2" ht="12" customHeight="1">
      <c r="B952" s="524"/>
    </row>
    <row r="953" spans="2:2" ht="12" customHeight="1">
      <c r="B953" s="524"/>
    </row>
    <row r="954" spans="2:2" ht="12" customHeight="1">
      <c r="B954" s="524"/>
    </row>
    <row r="955" spans="2:2" ht="12" customHeight="1">
      <c r="B955" s="524"/>
    </row>
    <row r="956" spans="2:2" ht="12" customHeight="1">
      <c r="B956" s="524"/>
    </row>
    <row r="957" spans="2:2" ht="12" customHeight="1">
      <c r="B957" s="524"/>
    </row>
    <row r="958" spans="2:2" ht="12" customHeight="1">
      <c r="B958" s="524"/>
    </row>
    <row r="959" spans="2:2" ht="12" customHeight="1">
      <c r="B959" s="524"/>
    </row>
    <row r="960" spans="2:2" ht="12" customHeight="1">
      <c r="B960" s="524"/>
    </row>
    <row r="961" spans="2:2" ht="12" customHeight="1">
      <c r="B961" s="524"/>
    </row>
    <row r="962" spans="2:2" ht="12" customHeight="1">
      <c r="B962" s="524"/>
    </row>
    <row r="963" spans="2:2" ht="12" customHeight="1">
      <c r="B963" s="524"/>
    </row>
    <row r="964" spans="2:2" ht="12" customHeight="1">
      <c r="B964" s="524"/>
    </row>
    <row r="965" spans="2:2" ht="12" customHeight="1">
      <c r="B965" s="524"/>
    </row>
    <row r="966" spans="2:2" ht="12" customHeight="1">
      <c r="B966" s="524"/>
    </row>
    <row r="967" spans="2:2" ht="12" customHeight="1">
      <c r="B967" s="524"/>
    </row>
    <row r="968" spans="2:2" ht="12" customHeight="1">
      <c r="B968" s="524"/>
    </row>
    <row r="969" spans="2:2" ht="12" customHeight="1">
      <c r="B969" s="524"/>
    </row>
    <row r="970" spans="2:2" ht="12" customHeight="1">
      <c r="B970" s="524"/>
    </row>
    <row r="971" spans="2:2" ht="12" customHeight="1">
      <c r="B971" s="524"/>
    </row>
    <row r="972" spans="2:2" ht="12" customHeight="1">
      <c r="B972" s="524"/>
    </row>
    <row r="973" spans="2:2" ht="12" customHeight="1">
      <c r="B973" s="524"/>
    </row>
    <row r="974" spans="2:2" ht="12" customHeight="1">
      <c r="B974" s="524"/>
    </row>
    <row r="975" spans="2:2" ht="12" customHeight="1">
      <c r="B975" s="524"/>
    </row>
    <row r="976" spans="2:2" ht="12" customHeight="1">
      <c r="B976" s="524"/>
    </row>
    <row r="977" spans="2:2" ht="12" customHeight="1">
      <c r="B977" s="524"/>
    </row>
    <row r="978" spans="2:2" ht="12" customHeight="1">
      <c r="B978" s="524"/>
    </row>
    <row r="979" spans="2:2" ht="12" customHeight="1">
      <c r="B979" s="524"/>
    </row>
    <row r="980" spans="2:2" ht="12" customHeight="1">
      <c r="B980" s="524"/>
    </row>
    <row r="981" spans="2:2" ht="12" customHeight="1">
      <c r="B981" s="524"/>
    </row>
    <row r="982" spans="2:2" ht="12" customHeight="1">
      <c r="B982" s="524"/>
    </row>
    <row r="983" spans="2:2" ht="12" customHeight="1">
      <c r="B983" s="524"/>
    </row>
    <row r="984" spans="2:2" ht="12" customHeight="1">
      <c r="B984" s="524"/>
    </row>
    <row r="985" spans="2:2" ht="12" customHeight="1">
      <c r="B985" s="524"/>
    </row>
    <row r="986" spans="2:2" ht="12" customHeight="1">
      <c r="B986" s="524"/>
    </row>
    <row r="987" spans="2:2" ht="12" customHeight="1">
      <c r="B987" s="524"/>
    </row>
    <row r="988" spans="2:2" ht="12" customHeight="1">
      <c r="B988" s="524"/>
    </row>
  </sheetData>
  <sheetProtection algorithmName="SHA-512" hashValue="cOWtRmR0nuo1UzJIW7iL1e0CED/rXyl7WNoJQ2iSuowmPYZso0aREAS1/iIbJjBwfHQ7tilOhIzuSQOE6HC7uQ==" saltValue="8wrWuZFtgy1iq8reBAKe2A==" spinCount="100000" sheet="1" objects="1" scenarios="1"/>
  <mergeCells count="1">
    <mergeCell ref="H5:K10"/>
  </mergeCells>
  <pageMargins left="0.75" right="0.75" top="1" bottom="1" header="0" footer="0"/>
  <pageSetup scale="74" orientation="portrait"/>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B017-3E9E-459D-B6D5-3431A8C48988}">
  <sheetPr codeName="Sheet18">
    <tabColor rgb="FFFFFF00"/>
    <pageSetUpPr fitToPage="1"/>
  </sheetPr>
  <dimension ref="B2:H56"/>
  <sheetViews>
    <sheetView showGridLines="0" topLeftCell="A38" zoomScale="115" zoomScaleNormal="115" workbookViewId="0">
      <selection activeCell="E44" sqref="E44"/>
    </sheetView>
  </sheetViews>
  <sheetFormatPr defaultRowHeight="14.4"/>
  <cols>
    <col min="1" max="1" width="5.44140625" style="1052" customWidth="1"/>
    <col min="2" max="2" width="11.44140625" style="1052" customWidth="1"/>
    <col min="3" max="3" width="24.27734375" style="1052" customWidth="1"/>
    <col min="4" max="4" width="11.83203125" style="1052" customWidth="1"/>
    <col min="5" max="8" width="18.6640625" style="1052" customWidth="1"/>
    <col min="9" max="16384" width="8.88671875" style="1052"/>
  </cols>
  <sheetData>
    <row r="2" spans="2:8" ht="17.7">
      <c r="B2" s="392" t="s">
        <v>913</v>
      </c>
      <c r="C2" s="1335"/>
      <c r="D2" s="1335"/>
    </row>
    <row r="3" spans="2:8">
      <c r="B3" s="1049"/>
      <c r="C3" s="1049"/>
      <c r="D3" s="1049"/>
      <c r="E3" s="1050"/>
      <c r="F3" s="1050"/>
      <c r="G3" s="1051"/>
      <c r="H3" s="1051"/>
    </row>
    <row r="4" spans="2:8">
      <c r="B4" s="1512" t="s">
        <v>786</v>
      </c>
      <c r="C4" s="1513"/>
      <c r="D4" s="1513"/>
      <c r="E4" s="1513"/>
      <c r="F4" s="1329"/>
      <c r="G4" s="1516" t="s">
        <v>787</v>
      </c>
      <c r="H4" s="1516"/>
    </row>
    <row r="5" spans="2:8">
      <c r="B5" s="1514"/>
      <c r="C5" s="1515"/>
      <c r="D5" s="1515"/>
      <c r="E5" s="1515"/>
      <c r="F5" s="1330"/>
      <c r="G5" s="1517"/>
      <c r="H5" s="1517"/>
    </row>
    <row r="6" spans="2:8">
      <c r="B6" s="1518">
        <f ca="1">TODAY()</f>
        <v>43985</v>
      </c>
      <c r="C6" s="1519"/>
      <c r="D6" s="1331"/>
      <c r="E6" s="1330"/>
      <c r="F6" s="1330"/>
      <c r="G6" s="1332"/>
      <c r="H6" s="1332"/>
    </row>
    <row r="7" spans="2:8">
      <c r="B7" s="1333"/>
      <c r="C7" s="1334"/>
      <c r="D7" s="1334"/>
      <c r="E7" s="1334"/>
      <c r="F7" s="1334"/>
      <c r="G7" s="1334"/>
      <c r="H7" s="1334"/>
    </row>
    <row r="8" spans="2:8">
      <c r="B8" s="1520" t="s">
        <v>788</v>
      </c>
      <c r="C8" s="1520"/>
      <c r="D8" s="1062" t="s">
        <v>789</v>
      </c>
      <c r="E8" s="1062" t="s">
        <v>31</v>
      </c>
      <c r="F8" s="1062" t="s">
        <v>21</v>
      </c>
      <c r="G8" s="1062" t="s">
        <v>32</v>
      </c>
      <c r="H8" s="1062" t="s">
        <v>33</v>
      </c>
    </row>
    <row r="9" spans="2:8" ht="15" customHeight="1">
      <c r="B9" s="1511" t="str">
        <f>'2 yr monthly cash flow'!A9</f>
        <v>Produce Sales</v>
      </c>
      <c r="C9" s="1511"/>
      <c r="D9" s="1063"/>
      <c r="E9" s="1064">
        <f>SUM('Produce &amp; Fish Sales'!D4:D6)</f>
        <v>5187.0000000000018</v>
      </c>
      <c r="F9" s="1064">
        <f>SUM('Produce &amp; Fish Sales'!E4:E6)</f>
        <v>15561.000000000002</v>
      </c>
      <c r="G9" s="1064">
        <f>SUM('Produce &amp; Fish Sales'!F4:F6)</f>
        <v>15561.000000000002</v>
      </c>
      <c r="H9" s="1064">
        <f>SUM('Produce &amp; Fish Sales'!G4:G6)</f>
        <v>15561.000000000002</v>
      </c>
    </row>
    <row r="10" spans="2:8" ht="15" customHeight="1">
      <c r="B10" s="1511" t="str">
        <f>'2 yr monthly cash flow'!A10</f>
        <v>Fish Sales</v>
      </c>
      <c r="C10" s="1511"/>
      <c r="D10" s="1063"/>
      <c r="E10" s="1064">
        <f>'Produce &amp; Fish Sales'!D7</f>
        <v>0</v>
      </c>
      <c r="F10" s="1064">
        <f>'Produce &amp; Fish Sales'!E7</f>
        <v>0</v>
      </c>
      <c r="G10" s="1064">
        <f>'Produce &amp; Fish Sales'!F7</f>
        <v>0</v>
      </c>
      <c r="H10" s="1064">
        <f>'Produce &amp; Fish Sales'!G7</f>
        <v>0</v>
      </c>
    </row>
    <row r="11" spans="2:8" ht="15" customHeight="1">
      <c r="B11" s="1511" t="str">
        <f>'2 yr monthly cash flow'!A11</f>
        <v>Misc - Other</v>
      </c>
      <c r="C11" s="1511"/>
      <c r="D11" s="1063"/>
      <c r="E11" s="1064">
        <f>'Misc - Other Rev'!C13</f>
        <v>275</v>
      </c>
      <c r="F11" s="1064">
        <f>'Misc - Other Rev'!D13</f>
        <v>0</v>
      </c>
      <c r="G11" s="1064">
        <f>'Misc - Other Rev'!E13</f>
        <v>0</v>
      </c>
      <c r="H11" s="1064">
        <f>'Misc - Other Rev'!F13</f>
        <v>0</v>
      </c>
    </row>
    <row r="12" spans="2:8" s="1053" customFormat="1">
      <c r="B12" s="1523" t="s">
        <v>39</v>
      </c>
      <c r="C12" s="1523"/>
      <c r="D12" s="1065"/>
      <c r="E12" s="1066">
        <f>SUM(E9:E11)</f>
        <v>5462.0000000000018</v>
      </c>
      <c r="F12" s="1066">
        <f t="shared" ref="F12:H12" si="0">SUM(F9:F11)</f>
        <v>15561.000000000002</v>
      </c>
      <c r="G12" s="1066">
        <f t="shared" si="0"/>
        <v>15561.000000000002</v>
      </c>
      <c r="H12" s="1066">
        <f t="shared" si="0"/>
        <v>15561.000000000002</v>
      </c>
    </row>
    <row r="13" spans="2:8">
      <c r="B13" s="1067"/>
      <c r="C13" s="1068"/>
      <c r="D13" s="1068"/>
      <c r="E13" s="1068"/>
      <c r="F13" s="1068"/>
      <c r="G13" s="1068"/>
      <c r="H13" s="1068"/>
    </row>
    <row r="14" spans="2:8">
      <c r="B14" s="1520" t="s">
        <v>790</v>
      </c>
      <c r="C14" s="1520"/>
      <c r="D14" s="1062" t="s">
        <v>789</v>
      </c>
      <c r="E14" s="1106"/>
      <c r="F14" s="1106"/>
      <c r="G14" s="1106"/>
      <c r="H14" s="1106"/>
    </row>
    <row r="15" spans="2:8">
      <c r="B15" s="1511" t="str">
        <f>'2 yr monthly cash flow'!A14</f>
        <v>Fish Feed and Fingerlings</v>
      </c>
      <c r="C15" s="1511"/>
      <c r="D15" s="1069"/>
      <c r="E15" s="1064">
        <f>SUM('2 yr monthly cash flow'!B14:M14)</f>
        <v>0</v>
      </c>
      <c r="F15" s="1064">
        <f>SUM('2 yr monthly cash flow'!N14:Y14)</f>
        <v>0</v>
      </c>
      <c r="G15" s="1064">
        <f>F15*1.03</f>
        <v>0</v>
      </c>
      <c r="H15" s="1064">
        <f>G15*1.03</f>
        <v>0</v>
      </c>
    </row>
    <row r="16" spans="2:8">
      <c r="B16" s="1511" t="str">
        <f>'2 yr monthly cash flow'!A15</f>
        <v>Plant Systems</v>
      </c>
      <c r="C16" s="1511"/>
      <c r="D16" s="1069"/>
      <c r="E16" s="1064">
        <f>'COGS Monthly'!D8</f>
        <v>509.6</v>
      </c>
      <c r="F16" s="1064">
        <f>'COGS Monthly'!E8</f>
        <v>509.6</v>
      </c>
      <c r="G16" s="1064">
        <f>'COGS Monthly'!F8</f>
        <v>509.6</v>
      </c>
      <c r="H16" s="1064">
        <f>'COGS Monthly'!G8</f>
        <v>509.6</v>
      </c>
    </row>
    <row r="17" spans="2:8">
      <c r="B17" s="1521" t="s">
        <v>791</v>
      </c>
      <c r="C17" s="1521"/>
      <c r="D17" s="1070"/>
      <c r="E17" s="1071">
        <f>E15+E16</f>
        <v>509.6</v>
      </c>
      <c r="F17" s="1071">
        <f>F15+F16</f>
        <v>509.6</v>
      </c>
      <c r="G17" s="1071">
        <f>G15+G16</f>
        <v>509.6</v>
      </c>
      <c r="H17" s="1071">
        <f>H15+H16</f>
        <v>509.6</v>
      </c>
    </row>
    <row r="18" spans="2:8">
      <c r="B18" s="1067"/>
      <c r="C18" s="1068"/>
      <c r="D18" s="1072"/>
      <c r="E18" s="1068"/>
      <c r="F18" s="1068"/>
      <c r="G18" s="1068"/>
      <c r="H18" s="1068"/>
    </row>
    <row r="19" spans="2:8" ht="15.6">
      <c r="B19" s="1522" t="s">
        <v>51</v>
      </c>
      <c r="C19" s="1522"/>
      <c r="D19" s="1073"/>
      <c r="E19" s="1074">
        <f>E12-E17</f>
        <v>4952.4000000000015</v>
      </c>
      <c r="F19" s="1074">
        <f>F12-F17</f>
        <v>15051.400000000001</v>
      </c>
      <c r="G19" s="1074">
        <f>G12-G17</f>
        <v>15051.400000000001</v>
      </c>
      <c r="H19" s="1074">
        <f>H12-H17</f>
        <v>15051.400000000001</v>
      </c>
    </row>
    <row r="20" spans="2:8">
      <c r="B20" s="1067"/>
      <c r="C20" s="1068"/>
      <c r="D20" s="1068"/>
      <c r="E20" s="1068"/>
      <c r="F20" s="1068"/>
      <c r="G20" s="1068"/>
      <c r="H20" s="1068"/>
    </row>
    <row r="21" spans="2:8">
      <c r="B21" s="1520" t="s">
        <v>806</v>
      </c>
      <c r="C21" s="1520"/>
      <c r="D21" s="1062" t="s">
        <v>789</v>
      </c>
      <c r="E21" s="1106"/>
      <c r="F21" s="1106"/>
      <c r="G21" s="1106"/>
      <c r="H21" s="1106"/>
    </row>
    <row r="22" spans="2:8" ht="15" customHeight="1">
      <c r="B22" s="1524" t="str">
        <f>'2 yr monthly cash flow'!A20</f>
        <v>Water Quality Supplies</v>
      </c>
      <c r="C22" s="1524"/>
      <c r="D22" s="1075" t="s">
        <v>792</v>
      </c>
      <c r="E22" s="1076">
        <f>'Water Quality'!C21</f>
        <v>0</v>
      </c>
      <c r="F22" s="1076">
        <f>'Water Quality'!D21</f>
        <v>0</v>
      </c>
      <c r="G22" s="1076">
        <f>'Water Quality'!E21</f>
        <v>0</v>
      </c>
      <c r="H22" s="1076">
        <f>'Water Quality'!F21</f>
        <v>0</v>
      </c>
    </row>
    <row r="23" spans="2:8" ht="15" customHeight="1">
      <c r="B23" s="1524" t="str">
        <f>'2 yr monthly cash flow'!A21</f>
        <v>Plant and IPM Supplies</v>
      </c>
      <c r="C23" s="1524"/>
      <c r="D23" s="1075" t="s">
        <v>792</v>
      </c>
      <c r="E23" s="1076">
        <f>'Plant and IPM Supplies'!D8</f>
        <v>0</v>
      </c>
      <c r="F23" s="1076">
        <f>'Plant and IPM Supplies'!E8</f>
        <v>0</v>
      </c>
      <c r="G23" s="1076">
        <f>'Plant and IPM Supplies'!F8</f>
        <v>0</v>
      </c>
      <c r="H23" s="1076">
        <f>'Plant and IPM Supplies'!G8</f>
        <v>0</v>
      </c>
    </row>
    <row r="24" spans="2:8" ht="15" customHeight="1">
      <c r="B24" s="1524" t="str">
        <f>'2 yr monthly cash flow'!A22</f>
        <v>Distribution</v>
      </c>
      <c r="C24" s="1524"/>
      <c r="D24" s="1075" t="s">
        <v>792</v>
      </c>
      <c r="E24" s="1076">
        <f>Distribution!C17</f>
        <v>0</v>
      </c>
      <c r="F24" s="1076">
        <f>Distribution!D17</f>
        <v>0</v>
      </c>
      <c r="G24" s="1076">
        <f>Distribution!E17</f>
        <v>0</v>
      </c>
      <c r="H24" s="1076">
        <f>Distribution!F17</f>
        <v>0</v>
      </c>
    </row>
    <row r="25" spans="2:8">
      <c r="B25" s="1524" t="str">
        <f>'2 yr monthly cash flow'!A23</f>
        <v>Nutrients and Adjusters</v>
      </c>
      <c r="C25" s="1524"/>
      <c r="D25" s="1075" t="s">
        <v>792</v>
      </c>
      <c r="E25" s="1076">
        <f>'Nutrients and Adjusters'!C16</f>
        <v>0</v>
      </c>
      <c r="F25" s="1076">
        <v>0</v>
      </c>
      <c r="G25" s="1076">
        <v>0</v>
      </c>
      <c r="H25" s="1076">
        <v>0</v>
      </c>
    </row>
    <row r="26" spans="2:8" ht="15" customHeight="1">
      <c r="B26" s="1524" t="str">
        <f>'2 yr monthly cash flow'!A24</f>
        <v>Office Supplies</v>
      </c>
      <c r="C26" s="1524"/>
      <c r="D26" s="1075" t="s">
        <v>792</v>
      </c>
      <c r="E26" s="1076">
        <v>0</v>
      </c>
      <c r="F26" s="1076">
        <v>0</v>
      </c>
      <c r="G26" s="1076">
        <v>0</v>
      </c>
      <c r="H26" s="1076">
        <v>0</v>
      </c>
    </row>
    <row r="27" spans="2:8" ht="15" customHeight="1">
      <c r="B27" s="1524" t="str">
        <f>'2 yr monthly cash flow'!A25</f>
        <v>Advertising/ Marketing</v>
      </c>
      <c r="C27" s="1524"/>
      <c r="D27" s="1075" t="s">
        <v>792</v>
      </c>
      <c r="E27" s="1076">
        <f>'Marketing &amp; Adv'!C13</f>
        <v>0</v>
      </c>
      <c r="F27" s="1076">
        <f>'Marketing &amp; Adv'!D13</f>
        <v>0</v>
      </c>
      <c r="G27" s="1076">
        <f>'Marketing &amp; Adv'!E13</f>
        <v>0</v>
      </c>
      <c r="H27" s="1076">
        <f>'Marketing &amp; Adv'!F13</f>
        <v>0</v>
      </c>
    </row>
    <row r="28" spans="2:8" ht="15" customHeight="1">
      <c r="B28" s="1524" t="str">
        <f>'2 yr monthly cash flow'!A26</f>
        <v>Utilities/Energy</v>
      </c>
      <c r="C28" s="1524"/>
      <c r="D28" s="1075" t="s">
        <v>792</v>
      </c>
      <c r="E28" s="1076">
        <f>'Energy and Water'!H7</f>
        <v>360</v>
      </c>
      <c r="F28" s="1076">
        <f>'Energy and Water'!I7</f>
        <v>360</v>
      </c>
      <c r="G28" s="1076">
        <f>'Energy and Water'!J7</f>
        <v>360</v>
      </c>
      <c r="H28" s="1076">
        <f>'Energy and Water'!K7</f>
        <v>360</v>
      </c>
    </row>
    <row r="29" spans="2:8" ht="14.4" customHeight="1">
      <c r="B29" s="1524" t="str">
        <f>'2 yr monthly cash flow'!A27</f>
        <v>Employee Training</v>
      </c>
      <c r="C29" s="1524"/>
      <c r="D29" s="1075" t="s">
        <v>792</v>
      </c>
      <c r="E29" s="1076">
        <f>'Salaries and Training'!C13</f>
        <v>0</v>
      </c>
      <c r="F29" s="1076">
        <f>'Salaries and Training'!D13</f>
        <v>0</v>
      </c>
      <c r="G29" s="1076">
        <f>'Salaries and Training'!E13</f>
        <v>0</v>
      </c>
      <c r="H29" s="1076">
        <f>'Salaries and Training'!F13</f>
        <v>0</v>
      </c>
    </row>
    <row r="30" spans="2:8" ht="15" customHeight="1">
      <c r="B30" s="1524" t="str">
        <f>'2 yr monthly cash flow'!A28</f>
        <v>Salaries</v>
      </c>
      <c r="C30" s="1524"/>
      <c r="D30" s="1075" t="s">
        <v>792</v>
      </c>
      <c r="E30" s="1076">
        <f>'Salaries and Training'!C12</f>
        <v>44095.999999999993</v>
      </c>
      <c r="F30" s="1076">
        <f>'Salaries and Training'!D12</f>
        <v>44095.999999999993</v>
      </c>
      <c r="G30" s="1076">
        <f>'Salaries and Training'!E12</f>
        <v>44095.999999999993</v>
      </c>
      <c r="H30" s="1076">
        <f>'Salaries and Training'!F12</f>
        <v>44095.999999999993</v>
      </c>
    </row>
    <row r="31" spans="2:8" ht="15" customHeight="1">
      <c r="B31" s="1524" t="str">
        <f>'2 yr monthly cash flow'!A29</f>
        <v>Insurance</v>
      </c>
      <c r="C31" s="1524"/>
      <c r="D31" s="1075" t="s">
        <v>792</v>
      </c>
      <c r="E31" s="1076">
        <f>'Other Operating exp'!C5</f>
        <v>0</v>
      </c>
      <c r="F31" s="1076">
        <f>'Other Operating exp'!D5</f>
        <v>0</v>
      </c>
      <c r="G31" s="1076">
        <f>'Other Operating exp'!E5</f>
        <v>0</v>
      </c>
      <c r="H31" s="1076">
        <f>'Other Operating exp'!F5</f>
        <v>0</v>
      </c>
    </row>
    <row r="32" spans="2:8" ht="15" customHeight="1">
      <c r="B32" s="1524" t="str">
        <f>'2 yr monthly cash flow'!A30</f>
        <v>Lease</v>
      </c>
      <c r="C32" s="1524"/>
      <c r="D32" s="1075" t="s">
        <v>792</v>
      </c>
      <c r="E32" s="1076">
        <f>'Other Operating exp'!C6</f>
        <v>0</v>
      </c>
      <c r="F32" s="1076">
        <f>'Other Operating exp'!D6</f>
        <v>0</v>
      </c>
      <c r="G32" s="1076">
        <f>'Other Operating exp'!E6</f>
        <v>0</v>
      </c>
      <c r="H32" s="1076">
        <f>'Other Operating exp'!F6</f>
        <v>0</v>
      </c>
    </row>
    <row r="33" spans="2:8" ht="15" customHeight="1">
      <c r="B33" s="1524" t="str">
        <f>'2 yr monthly cash flow'!A31</f>
        <v>Charitable Contributions</v>
      </c>
      <c r="C33" s="1524"/>
      <c r="D33" s="1075" t="s">
        <v>792</v>
      </c>
      <c r="E33" s="1076">
        <f>'Other Operating exp'!C7</f>
        <v>0</v>
      </c>
      <c r="F33" s="1076">
        <f>'Other Operating exp'!D7</f>
        <v>0</v>
      </c>
      <c r="G33" s="1076">
        <f>'Other Operating exp'!E7</f>
        <v>0</v>
      </c>
      <c r="H33" s="1076">
        <f>'Other Operating exp'!F7</f>
        <v>0</v>
      </c>
    </row>
    <row r="34" spans="2:8" ht="15" customHeight="1">
      <c r="B34" s="1524" t="str">
        <f>'2 yr monthly cash flow'!A32</f>
        <v>Bad Debts/Write offs</v>
      </c>
      <c r="C34" s="1524"/>
      <c r="D34" s="1075" t="s">
        <v>792</v>
      </c>
      <c r="E34" s="1076">
        <f>'Other Operating exp'!C8</f>
        <v>0</v>
      </c>
      <c r="F34" s="1076">
        <f>'Other Operating exp'!D8</f>
        <v>0</v>
      </c>
      <c r="G34" s="1076">
        <f>'Other Operating exp'!E8</f>
        <v>0</v>
      </c>
      <c r="H34" s="1076">
        <f>'Other Operating exp'!F8</f>
        <v>0</v>
      </c>
    </row>
    <row r="35" spans="2:8" ht="15" customHeight="1">
      <c r="B35" s="1524" t="str">
        <f>'2 yr monthly cash flow'!A33</f>
        <v>Professional Services</v>
      </c>
      <c r="C35" s="1524"/>
      <c r="D35" s="1075" t="s">
        <v>792</v>
      </c>
      <c r="E35" s="1076">
        <f>'Other Operating exp'!C9</f>
        <v>0</v>
      </c>
      <c r="F35" s="1076">
        <f>'Other Operating exp'!D9</f>
        <v>0</v>
      </c>
      <c r="G35" s="1076">
        <f>'Other Operating exp'!E9</f>
        <v>0</v>
      </c>
      <c r="H35" s="1076">
        <f>'Other Operating exp'!F9</f>
        <v>0</v>
      </c>
    </row>
    <row r="36" spans="2:8">
      <c r="B36" s="1524" t="str">
        <f>'2 yr monthly cash flow'!A34</f>
        <v>Bank Fees</v>
      </c>
      <c r="C36" s="1524"/>
      <c r="D36" s="1075" t="s">
        <v>792</v>
      </c>
      <c r="E36" s="1076">
        <f>'Other Operating exp'!C10</f>
        <v>0</v>
      </c>
      <c r="F36" s="1076">
        <f>'Other Operating exp'!D10</f>
        <v>0</v>
      </c>
      <c r="G36" s="1076">
        <f>'Other Operating exp'!E10</f>
        <v>0</v>
      </c>
      <c r="H36" s="1076">
        <f>'Other Operating exp'!F10</f>
        <v>0</v>
      </c>
    </row>
    <row r="37" spans="2:8">
      <c r="B37" s="1524" t="str">
        <f>'2 yr monthly cash flow'!A35</f>
        <v>Debt Service</v>
      </c>
      <c r="C37" s="1524"/>
      <c r="D37" s="1075" t="s">
        <v>792</v>
      </c>
      <c r="E37" s="1076" t="str">
        <f>'Other Operating exp'!C11</f>
        <v/>
      </c>
      <c r="F37" s="1076" t="str">
        <f>'Other Operating exp'!D11</f>
        <v/>
      </c>
      <c r="G37" s="1076" t="str">
        <f>'Other Operating exp'!E11</f>
        <v/>
      </c>
      <c r="H37" s="1076" t="str">
        <f>'Other Operating exp'!F11</f>
        <v/>
      </c>
    </row>
    <row r="38" spans="2:8">
      <c r="B38" s="1525" t="s">
        <v>807</v>
      </c>
      <c r="C38" s="1525"/>
      <c r="D38" s="1077" t="s">
        <v>792</v>
      </c>
      <c r="E38" s="1071">
        <f>SUM(E22:E37)</f>
        <v>44455.999999999993</v>
      </c>
      <c r="F38" s="1071">
        <f>SUM(F22:F37)</f>
        <v>44455.999999999993</v>
      </c>
      <c r="G38" s="1071">
        <f>SUM(G22:G37)</f>
        <v>44455.999999999993</v>
      </c>
      <c r="H38" s="1071">
        <f>SUM(H22:H37)</f>
        <v>44455.999999999993</v>
      </c>
    </row>
    <row r="39" spans="2:8">
      <c r="B39" s="1067"/>
      <c r="C39" s="1068"/>
      <c r="D39" s="1072"/>
      <c r="E39" s="1078"/>
      <c r="F39" s="1078"/>
      <c r="G39" s="1078"/>
      <c r="H39" s="1078"/>
    </row>
    <row r="40" spans="2:8">
      <c r="B40" s="1526" t="s">
        <v>847</v>
      </c>
      <c r="C40" s="1526"/>
      <c r="D40" s="1079"/>
      <c r="E40" s="1080">
        <f>E19-E38</f>
        <v>-39503.599999999991</v>
      </c>
      <c r="F40" s="1080">
        <f>F19-F38</f>
        <v>-29404.599999999991</v>
      </c>
      <c r="G40" s="1080">
        <f>G19-G38</f>
        <v>-29404.599999999991</v>
      </c>
      <c r="H40" s="1080">
        <f>H19-H38</f>
        <v>-29404.599999999991</v>
      </c>
    </row>
    <row r="41" spans="2:8">
      <c r="B41" s="1081"/>
      <c r="C41" s="1082"/>
      <c r="D41" s="1082"/>
      <c r="E41" s="1082"/>
      <c r="F41" s="1082"/>
      <c r="G41" s="1082"/>
      <c r="H41" s="1082"/>
    </row>
    <row r="42" spans="2:8" ht="14.7" thickBot="1">
      <c r="B42" s="1083" t="s">
        <v>23</v>
      </c>
      <c r="C42" s="1084"/>
      <c r="D42" s="1084"/>
      <c r="E42" s="1085" t="str">
        <f>E8</f>
        <v>Year 1</v>
      </c>
      <c r="F42" s="1085" t="str">
        <f>F8</f>
        <v>Year 2</v>
      </c>
      <c r="G42" s="1085" t="str">
        <f>G8</f>
        <v>Year 3</v>
      </c>
      <c r="H42" s="1085" t="str">
        <f>H8</f>
        <v>Year 4</v>
      </c>
    </row>
    <row r="43" spans="2:8" ht="14.7" thickTop="1">
      <c r="B43" s="1086" t="s">
        <v>795</v>
      </c>
      <c r="C43" s="1087"/>
      <c r="D43" s="1087"/>
      <c r="E43" s="1088">
        <f>E12</f>
        <v>5462.0000000000018</v>
      </c>
      <c r="F43" s="1088">
        <f>F12</f>
        <v>15561.000000000002</v>
      </c>
      <c r="G43" s="1088">
        <f>G12</f>
        <v>15561.000000000002</v>
      </c>
      <c r="H43" s="1088">
        <f>H12</f>
        <v>15561.000000000002</v>
      </c>
    </row>
    <row r="44" spans="2:8">
      <c r="B44" s="1086" t="s">
        <v>796</v>
      </c>
      <c r="C44" s="1087"/>
      <c r="D44" s="1087"/>
      <c r="E44" s="1088">
        <f>E17</f>
        <v>509.6</v>
      </c>
      <c r="F44" s="1088">
        <f>F17</f>
        <v>509.6</v>
      </c>
      <c r="G44" s="1088">
        <f>G17</f>
        <v>509.6</v>
      </c>
      <c r="H44" s="1088">
        <f>H17</f>
        <v>509.6</v>
      </c>
    </row>
    <row r="45" spans="2:8">
      <c r="B45" s="1089" t="s">
        <v>797</v>
      </c>
      <c r="C45" s="1090"/>
      <c r="D45" s="1090"/>
      <c r="E45" s="1091">
        <f>E43-E44</f>
        <v>4952.4000000000015</v>
      </c>
      <c r="F45" s="1091">
        <f>F43-F44</f>
        <v>15051.400000000001</v>
      </c>
      <c r="G45" s="1091">
        <f>G43-G44</f>
        <v>15051.400000000001</v>
      </c>
      <c r="H45" s="1091">
        <f>H43-H44</f>
        <v>15051.400000000001</v>
      </c>
    </row>
    <row r="46" spans="2:8">
      <c r="B46" s="1092" t="s">
        <v>798</v>
      </c>
      <c r="C46" s="1093"/>
      <c r="D46" s="1093"/>
      <c r="E46" s="1094">
        <f>IFERROR(E45/E43,"-")</f>
        <v>0.9067008421823507</v>
      </c>
      <c r="F46" s="1094">
        <f>IFERROR(F45/F43,"-")</f>
        <v>0.96725146198830403</v>
      </c>
      <c r="G46" s="1094">
        <f>IFERROR(G45/G43,"-")</f>
        <v>0.96725146198830403</v>
      </c>
      <c r="H46" s="1094">
        <f>IFERROR(H45/H43,"-")</f>
        <v>0.96725146198830403</v>
      </c>
    </row>
    <row r="47" spans="2:8">
      <c r="B47" s="1092"/>
      <c r="C47" s="1093"/>
      <c r="D47" s="1093"/>
      <c r="E47" s="1095"/>
      <c r="F47" s="1095"/>
      <c r="G47" s="1096"/>
      <c r="H47" s="1096"/>
    </row>
    <row r="48" spans="2:8" ht="14.7" thickBot="1">
      <c r="B48" s="1097" t="s">
        <v>799</v>
      </c>
      <c r="C48" s="1098"/>
      <c r="D48" s="1098"/>
      <c r="E48" s="1099" t="str">
        <f>E42</f>
        <v>Year 1</v>
      </c>
      <c r="F48" s="1099" t="str">
        <f>F42</f>
        <v>Year 2</v>
      </c>
      <c r="G48" s="1099" t="str">
        <f>G42</f>
        <v>Year 3</v>
      </c>
      <c r="H48" s="1099" t="str">
        <f>H42</f>
        <v>Year 4</v>
      </c>
    </row>
    <row r="49" spans="2:8" ht="14.7" thickTop="1">
      <c r="B49" s="1100"/>
      <c r="C49" s="1101"/>
      <c r="D49" s="1101"/>
      <c r="E49" s="1095"/>
      <c r="F49" s="1095"/>
      <c r="G49" s="1096"/>
      <c r="H49" s="1096"/>
    </row>
    <row r="50" spans="2:8">
      <c r="B50" s="1102" t="s">
        <v>800</v>
      </c>
      <c r="C50" s="1103"/>
      <c r="D50" s="1103"/>
      <c r="E50" s="1104">
        <f>E38</f>
        <v>44455.999999999993</v>
      </c>
      <c r="F50" s="1104">
        <f>F38</f>
        <v>44455.999999999993</v>
      </c>
      <c r="G50" s="1104">
        <f>G38</f>
        <v>44455.999999999993</v>
      </c>
      <c r="H50" s="1104">
        <f>H38</f>
        <v>44455.999999999993</v>
      </c>
    </row>
    <row r="51" spans="2:8">
      <c r="B51" s="1100" t="s">
        <v>815</v>
      </c>
      <c r="C51" s="1101"/>
      <c r="D51" s="1101"/>
      <c r="E51" s="1105">
        <f>E45-E50</f>
        <v>-39503.599999999991</v>
      </c>
      <c r="F51" s="1105">
        <f>F45-F50</f>
        <v>-29404.599999999991</v>
      </c>
      <c r="G51" s="1105">
        <f>G45-G50</f>
        <v>-29404.599999999991</v>
      </c>
      <c r="H51" s="1105">
        <f>H45-H50</f>
        <v>-29404.599999999991</v>
      </c>
    </row>
    <row r="52" spans="2:8">
      <c r="B52" s="1054" t="s">
        <v>793</v>
      </c>
      <c r="C52" s="1055"/>
      <c r="D52" s="1055"/>
      <c r="E52" s="1314">
        <f>E32</f>
        <v>0</v>
      </c>
      <c r="F52" s="1314">
        <f>F32</f>
        <v>0</v>
      </c>
      <c r="G52" s="1314">
        <f>G32</f>
        <v>0</v>
      </c>
      <c r="H52" s="1314">
        <f>H32</f>
        <v>0</v>
      </c>
    </row>
    <row r="53" spans="2:8">
      <c r="B53" s="1054" t="s">
        <v>794</v>
      </c>
      <c r="C53" s="1055"/>
      <c r="D53" s="1055"/>
      <c r="E53" s="1314">
        <v>0</v>
      </c>
      <c r="F53" s="1314">
        <v>0</v>
      </c>
      <c r="G53" s="1314">
        <v>0</v>
      </c>
      <c r="H53" s="1314">
        <v>0</v>
      </c>
    </row>
    <row r="54" spans="2:8">
      <c r="B54" s="1054" t="s">
        <v>846</v>
      </c>
      <c r="C54" s="1055"/>
      <c r="D54" s="1055"/>
      <c r="E54" s="1056">
        <f>'Startup Costs'!O19</f>
        <v>2250</v>
      </c>
      <c r="F54" s="1056">
        <f>'Startup Costs'!P19</f>
        <v>2250</v>
      </c>
      <c r="G54" s="1056">
        <f>'Startup Costs'!Q19</f>
        <v>2250</v>
      </c>
      <c r="H54" s="1056">
        <f>'Startup Costs'!R19</f>
        <v>2250</v>
      </c>
    </row>
    <row r="55" spans="2:8">
      <c r="B55" s="1054" t="s">
        <v>814</v>
      </c>
      <c r="C55" s="1055"/>
      <c r="D55" s="1055"/>
      <c r="E55" s="1314">
        <v>0</v>
      </c>
      <c r="F55" s="1314">
        <v>0</v>
      </c>
      <c r="G55" s="1314">
        <v>0</v>
      </c>
      <c r="H55" s="1314">
        <v>0</v>
      </c>
    </row>
    <row r="56" spans="2:8">
      <c r="B56" s="1057" t="s">
        <v>801</v>
      </c>
      <c r="C56" s="1058"/>
      <c r="D56" s="1058"/>
      <c r="E56" s="1059">
        <f>E51-E52-E53-E54-E55</f>
        <v>-41753.599999999991</v>
      </c>
      <c r="F56" s="1059">
        <f>F51-F52-F53-F54-F55</f>
        <v>-31654.599999999991</v>
      </c>
      <c r="G56" s="1059">
        <f>G51-G52-G53-G54-G55</f>
        <v>-31654.599999999991</v>
      </c>
      <c r="H56" s="1059">
        <f>H51-H52-H53-H54-H55</f>
        <v>-31654.599999999991</v>
      </c>
    </row>
  </sheetData>
  <sheetProtection algorithmName="SHA-512" hashValue="apNh+mylsiI6ZQ7yub4tUB6cIlDR2mkYENjcC8IYcgxy6rxeVZT/61AlfHOx6DYqAyD3nj/w9pJPbfentFXGgw==" saltValue="uJQVvuI6ZLljxqgKu5qnGw==" spinCount="100000" sheet="1" objects="1" scenarios="1"/>
  <mergeCells count="32">
    <mergeCell ref="B36:C36"/>
    <mergeCell ref="B37:C37"/>
    <mergeCell ref="B38:C38"/>
    <mergeCell ref="B40:C40"/>
    <mergeCell ref="B30:C30"/>
    <mergeCell ref="B31:C31"/>
    <mergeCell ref="B32:C32"/>
    <mergeCell ref="B33:C33"/>
    <mergeCell ref="B34:C34"/>
    <mergeCell ref="B35:C35"/>
    <mergeCell ref="B27:C27"/>
    <mergeCell ref="B28:C28"/>
    <mergeCell ref="B29:C29"/>
    <mergeCell ref="B22:C22"/>
    <mergeCell ref="B23:C23"/>
    <mergeCell ref="B24:C24"/>
    <mergeCell ref="B25:C25"/>
    <mergeCell ref="B26:C26"/>
    <mergeCell ref="B17:C17"/>
    <mergeCell ref="B19:C19"/>
    <mergeCell ref="B21:C21"/>
    <mergeCell ref="B12:C12"/>
    <mergeCell ref="B14:C14"/>
    <mergeCell ref="B15:C15"/>
    <mergeCell ref="B16:C16"/>
    <mergeCell ref="B11:C11"/>
    <mergeCell ref="B4:E5"/>
    <mergeCell ref="G4:H5"/>
    <mergeCell ref="B6:C6"/>
    <mergeCell ref="B8:C8"/>
    <mergeCell ref="B9:C9"/>
    <mergeCell ref="B10:C10"/>
  </mergeCells>
  <conditionalFormatting sqref="E51:H51 E56:H56">
    <cfRule type="cellIs" dxfId="0" priority="1" operator="lessThan">
      <formula>0</formula>
    </cfRule>
  </conditionalFormatting>
  <dataValidations disablePrompts="1" count="8">
    <dataValidation allowBlank="1" showInputMessage="1" showErrorMessage="1" prompt="Enter revenue generated by sales in this column" sqref="B8" xr:uid="{F8D26E5A-685A-4DEB-AEF9-14909A18CC9E}"/>
    <dataValidation allowBlank="1" showInputMessage="1" showErrorMessage="1" prompt="A trend chart for revenue over time is in this column" sqref="D8" xr:uid="{168ECA74-0725-46F5-AF5D-CA91EC219EE1}"/>
    <dataValidation allowBlank="1" showInputMessage="1" showErrorMessage="1" prompt="Enter cost of sales in this column" sqref="B14" xr:uid="{191798A0-C615-4E55-8BAC-BE7B2D1F63ED}"/>
    <dataValidation allowBlank="1" showInputMessage="1" showErrorMessage="1" prompt="A trend chart for costs over time is in this column" sqref="D14" xr:uid="{7E8E27AC-59DC-4441-8603-C9A8EE1C918F}"/>
    <dataValidation allowBlank="1" showInputMessage="1" showErrorMessage="1" prompt="Gross profit for each month and year is automatically calculated in this row based on total sales &amp; total costs of sales" sqref="B19" xr:uid="{613C5F0F-941C-4C9C-9DBA-5BF2ED5F29C7}"/>
    <dataValidation allowBlank="1" showInputMessage="1" showErrorMessage="1" prompt="Enter expenses in this column" sqref="B21" xr:uid="{A2A8496E-1934-4BE8-99BD-61F669020586}"/>
    <dataValidation allowBlank="1" showInputMessage="1" showErrorMessage="1" prompt="A trend chart for expenses over time is in this column" sqref="D21" xr:uid="{BA8AF5C6-5523-4CB0-9BE4-5E08A522CA14}"/>
    <dataValidation allowBlank="1" showInputMessage="1" showErrorMessage="1" prompt="Net profit is automatically calculated for each month &amp; year based on gross profit &amp; total expenses" sqref="B40" xr:uid="{360C04C9-DF4A-4FF4-AE7C-F43B93EC8C3E}"/>
  </dataValidations>
  <printOptions horizontalCentered="1"/>
  <pageMargins left="0.7" right="0.7" top="0.75" bottom="0.75" header="0.3" footer="0.3"/>
  <pageSetup scale="64" orientation="portrait" r:id="rId1"/>
  <extLst>
    <ext xmlns:x14="http://schemas.microsoft.com/office/spreadsheetml/2009/9/main" uri="{05C60535-1F16-4fd2-B633-F4F36F0B64E0}">
      <x14:sparklineGroups xmlns:xm="http://schemas.microsoft.com/office/excel/2006/main">
        <x14:sparklineGroup manualMax="0" manualMin="0" displayEmptyCellsAs="gap" high="1" low="1" xr2:uid="{DEDB826C-C51D-4C52-99A1-A44A0300B196}">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Statement'!E22:H22</xm:f>
              <xm:sqref>D22</xm:sqref>
            </x14:sparkline>
            <x14:sparkline>
              <xm:f>'Pro Forma Income Statement'!E23:H23</xm:f>
              <xm:sqref>D23</xm:sqref>
            </x14:sparkline>
            <x14:sparkline>
              <xm:f>'Pro Forma Income Statement'!E24:H24</xm:f>
              <xm:sqref>D24</xm:sqref>
            </x14:sparkline>
            <x14:sparkline>
              <xm:f>'Pro Forma Income Statement'!E25:H25</xm:f>
              <xm:sqref>D25</xm:sqref>
            </x14:sparkline>
            <x14:sparkline>
              <xm:f>'Pro Forma Income Statement'!E26:H26</xm:f>
              <xm:sqref>D26</xm:sqref>
            </x14:sparkline>
            <x14:sparkline>
              <xm:f>'Pro Forma Income Statement'!E27:H27</xm:f>
              <xm:sqref>D27</xm:sqref>
            </x14:sparkline>
            <x14:sparkline>
              <xm:f>'Pro Forma Income Statement'!E28:H28</xm:f>
              <xm:sqref>D28</xm:sqref>
            </x14:sparkline>
            <x14:sparkline>
              <xm:f>'Pro Forma Income Statement'!E29:H29</xm:f>
              <xm:sqref>D29</xm:sqref>
            </x14:sparkline>
            <x14:sparkline>
              <xm:f>'Pro Forma Income Statement'!E30:H30</xm:f>
              <xm:sqref>D30</xm:sqref>
            </x14:sparkline>
            <x14:sparkline>
              <xm:f>'Pro Forma Income Statement'!E31:H31</xm:f>
              <xm:sqref>D31</xm:sqref>
            </x14:sparkline>
            <x14:sparkline>
              <xm:f>'Pro Forma Income Statement'!E32:H32</xm:f>
              <xm:sqref>D32</xm:sqref>
            </x14:sparkline>
            <x14:sparkline>
              <xm:f>'Pro Forma Income Statement'!E33:H33</xm:f>
              <xm:sqref>D33</xm:sqref>
            </x14:sparkline>
            <x14:sparkline>
              <xm:f>'Pro Forma Income Statement'!E34:H34</xm:f>
              <xm:sqref>D34</xm:sqref>
            </x14:sparkline>
            <x14:sparkline>
              <xm:f>'Pro Forma Income Statement'!E35:H35</xm:f>
              <xm:sqref>D35</xm:sqref>
            </x14:sparkline>
            <x14:sparkline>
              <xm:f>'Pro Forma Income Statement'!E36:H36</xm:f>
              <xm:sqref>D36</xm:sqref>
            </x14:sparkline>
            <x14:sparkline>
              <xm:f>'Pro Forma Income Statement'!E37:H37</xm:f>
              <xm:sqref>D37</xm:sqref>
            </x14:sparkline>
            <x14:sparkline>
              <xm:f>'Pro Forma Income Statement'!E38:H38</xm:f>
              <xm:sqref>D38</xm:sqref>
            </x14:sparkline>
          </x14:sparklines>
        </x14:sparklineGroup>
        <x14:sparklineGroup manualMax="0" manualMin="0" displayEmptyCellsAs="gap" high="1" low="1" xr2:uid="{4CA6D837-1895-4104-A245-79684310502B}">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Statement'!E9:H9</xm:f>
              <xm:sqref>D9</xm:sqref>
            </x14:sparkline>
            <x14:sparkline>
              <xm:f>'Pro Forma Income Statement'!E10:H10</xm:f>
              <xm:sqref>D10</xm:sqref>
            </x14:sparkline>
            <x14:sparkline>
              <xm:f>'Pro Forma Income Statement'!E11:H11</xm:f>
              <xm:sqref>D11</xm:sqref>
            </x14:sparkline>
            <x14:sparkline>
              <xm:f>'Pro Forma Income Statement'!E12:H12</xm:f>
              <xm:sqref>D12</xm:sqref>
            </x14:sparkline>
          </x14:sparklines>
        </x14:sparklineGroup>
        <x14:sparklineGroup manualMax="0" manualMin="0" displayEmptyCellsAs="gap" high="1" low="1" xr2:uid="{7643A490-BD67-45EB-9E6D-F4FDFDCB6038}">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Statement'!E15:H15</xm:f>
              <xm:sqref>D15</xm:sqref>
            </x14:sparkline>
            <x14:sparkline>
              <xm:f>'Pro Forma Income Statement'!E16:H16</xm:f>
              <xm:sqref>D16</xm:sqref>
            </x14:sparkline>
            <x14:sparkline>
              <xm:f>'Pro Forma Income Statement'!E17:H17</xm:f>
              <xm:sqref>D17</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rgb="FFFFFF00"/>
  </sheetPr>
  <dimension ref="A1:AB994"/>
  <sheetViews>
    <sheetView showGridLines="0" workbookViewId="0">
      <selection activeCell="B5" sqref="B5"/>
    </sheetView>
  </sheetViews>
  <sheetFormatPr defaultColWidth="17.27734375" defaultRowHeight="15" customHeight="1"/>
  <cols>
    <col min="1" max="1" width="24.83203125" style="276" customWidth="1"/>
    <col min="2" max="3" width="12.83203125" style="279" customWidth="1"/>
    <col min="4" max="10" width="9.71875" style="279" customWidth="1"/>
    <col min="11" max="11" width="9.27734375" style="279" customWidth="1"/>
    <col min="12" max="12" width="8.71875" style="279" customWidth="1"/>
    <col min="13" max="13" width="9.71875" style="279" customWidth="1"/>
    <col min="14" max="15" width="10.27734375" style="279" customWidth="1"/>
    <col min="16" max="16" width="9.71875" style="279" customWidth="1"/>
    <col min="17" max="17" width="10.27734375" style="279" customWidth="1"/>
    <col min="18" max="28" width="9.71875" style="279" customWidth="1"/>
    <col min="29" max="16384" width="17.27734375" style="279"/>
  </cols>
  <sheetData>
    <row r="1" spans="1:28" ht="22.5" customHeight="1">
      <c r="A1" s="221" t="s">
        <v>14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28" ht="12" customHeight="1">
      <c r="A2" s="250" t="s">
        <v>771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row>
    <row r="3" spans="1:28" s="913" customFormat="1" ht="12" customHeight="1">
      <c r="A3" s="250" t="s">
        <v>912</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row>
    <row r="4" spans="1:28" ht="12" customHeight="1">
      <c r="A4" s="1016"/>
      <c r="B4" s="372" t="s">
        <v>31</v>
      </c>
      <c r="C4" s="278"/>
      <c r="D4" s="278"/>
      <c r="E4" s="278"/>
      <c r="F4" s="278"/>
      <c r="G4" s="278"/>
      <c r="H4" s="278"/>
      <c r="I4" s="278"/>
      <c r="J4" s="278"/>
      <c r="K4" s="278"/>
      <c r="L4" s="278"/>
      <c r="M4" s="917"/>
      <c r="N4" s="373" t="s">
        <v>21</v>
      </c>
      <c r="O4" s="278"/>
      <c r="P4" s="278"/>
      <c r="Q4" s="278"/>
      <c r="R4" s="278"/>
      <c r="S4" s="278"/>
      <c r="T4" s="278"/>
      <c r="U4" s="278"/>
      <c r="V4" s="278"/>
      <c r="W4" s="278"/>
      <c r="X4" s="278"/>
      <c r="Y4" s="278"/>
      <c r="Z4" s="278"/>
      <c r="AA4" s="278"/>
      <c r="AB4" s="278"/>
    </row>
    <row r="5" spans="1:28" ht="26.4" customHeight="1">
      <c r="A5" s="1017" t="s">
        <v>770</v>
      </c>
      <c r="B5" s="1315">
        <f>'Startup Costs'!E8</f>
        <v>0</v>
      </c>
      <c r="C5" s="374">
        <f>B6</f>
        <v>-3695.6</v>
      </c>
      <c r="D5" s="374">
        <f t="shared" ref="D5:Y5" si="0">C6</f>
        <v>-7366.2</v>
      </c>
      <c r="E5" s="374">
        <f t="shared" si="0"/>
        <v>-10902.45</v>
      </c>
      <c r="F5" s="374">
        <f t="shared" si="0"/>
        <v>-14179.35</v>
      </c>
      <c r="G5" s="374">
        <f t="shared" si="0"/>
        <v>-17865.016666666666</v>
      </c>
      <c r="H5" s="374">
        <f t="shared" si="0"/>
        <v>-21575.683333333334</v>
      </c>
      <c r="I5" s="374">
        <f t="shared" si="0"/>
        <v>-25286.350000000002</v>
      </c>
      <c r="J5" s="374">
        <f t="shared" si="0"/>
        <v>-28972.01666666667</v>
      </c>
      <c r="K5" s="374">
        <f t="shared" si="0"/>
        <v>-32682.683333333338</v>
      </c>
      <c r="L5" s="374">
        <f t="shared" si="0"/>
        <v>-36357.350000000006</v>
      </c>
      <c r="M5" s="918">
        <f t="shared" si="0"/>
        <v>-38078.150000000009</v>
      </c>
      <c r="N5" s="375">
        <f t="shared" si="0"/>
        <v>-39503.600000000006</v>
      </c>
      <c r="O5" s="374">
        <f t="shared" si="0"/>
        <v>-40705.700000000004</v>
      </c>
      <c r="P5" s="374">
        <f t="shared" si="0"/>
        <v>-41907.800000000003</v>
      </c>
      <c r="Q5" s="374">
        <f t="shared" si="0"/>
        <v>-43109.9</v>
      </c>
      <c r="R5" s="374">
        <f t="shared" si="0"/>
        <v>-44312</v>
      </c>
      <c r="S5" s="374">
        <f t="shared" si="0"/>
        <v>-48022.666666666664</v>
      </c>
      <c r="T5" s="374">
        <f t="shared" si="0"/>
        <v>-51733.333333333328</v>
      </c>
      <c r="U5" s="374">
        <f t="shared" si="0"/>
        <v>-55443.999999999993</v>
      </c>
      <c r="V5" s="374">
        <f t="shared" si="0"/>
        <v>-59154.666666666657</v>
      </c>
      <c r="W5" s="374">
        <f t="shared" si="0"/>
        <v>-62865.333333333321</v>
      </c>
      <c r="X5" s="374">
        <f t="shared" si="0"/>
        <v>-66539.999999999985</v>
      </c>
      <c r="Y5" s="374">
        <f t="shared" si="0"/>
        <v>-67742.099999999991</v>
      </c>
      <c r="Z5" s="280"/>
      <c r="AA5" s="280"/>
      <c r="AB5" s="280"/>
    </row>
    <row r="6" spans="1:28" ht="15" customHeight="1">
      <c r="A6" s="1016" t="s">
        <v>731</v>
      </c>
      <c r="B6" s="376">
        <f t="shared" ref="B6:Y6" si="1">B5+B37</f>
        <v>-3695.6</v>
      </c>
      <c r="C6" s="377">
        <f t="shared" si="1"/>
        <v>-7366.2</v>
      </c>
      <c r="D6" s="377">
        <f t="shared" si="1"/>
        <v>-10902.45</v>
      </c>
      <c r="E6" s="377">
        <f t="shared" si="1"/>
        <v>-14179.35</v>
      </c>
      <c r="F6" s="377">
        <f t="shared" si="1"/>
        <v>-17865.016666666666</v>
      </c>
      <c r="G6" s="377">
        <f t="shared" si="1"/>
        <v>-21575.683333333334</v>
      </c>
      <c r="H6" s="377">
        <f t="shared" si="1"/>
        <v>-25286.350000000002</v>
      </c>
      <c r="I6" s="377">
        <f t="shared" si="1"/>
        <v>-28972.01666666667</v>
      </c>
      <c r="J6" s="377">
        <f t="shared" si="1"/>
        <v>-32682.683333333338</v>
      </c>
      <c r="K6" s="377">
        <f t="shared" si="1"/>
        <v>-36357.350000000006</v>
      </c>
      <c r="L6" s="377">
        <f t="shared" si="1"/>
        <v>-38078.150000000009</v>
      </c>
      <c r="M6" s="919">
        <f t="shared" si="1"/>
        <v>-39503.600000000006</v>
      </c>
      <c r="N6" s="378">
        <f t="shared" si="1"/>
        <v>-40705.700000000004</v>
      </c>
      <c r="O6" s="377">
        <f t="shared" si="1"/>
        <v>-41907.800000000003</v>
      </c>
      <c r="P6" s="377">
        <f t="shared" si="1"/>
        <v>-43109.9</v>
      </c>
      <c r="Q6" s="377">
        <f t="shared" si="1"/>
        <v>-44312</v>
      </c>
      <c r="R6" s="377">
        <f t="shared" si="1"/>
        <v>-48022.666666666664</v>
      </c>
      <c r="S6" s="377">
        <f t="shared" si="1"/>
        <v>-51733.333333333328</v>
      </c>
      <c r="T6" s="377">
        <f t="shared" si="1"/>
        <v>-55443.999999999993</v>
      </c>
      <c r="U6" s="377">
        <f t="shared" si="1"/>
        <v>-59154.666666666657</v>
      </c>
      <c r="V6" s="377">
        <f t="shared" si="1"/>
        <v>-62865.333333333321</v>
      </c>
      <c r="W6" s="377">
        <f t="shared" si="1"/>
        <v>-66539.999999999985</v>
      </c>
      <c r="X6" s="377">
        <f t="shared" si="1"/>
        <v>-67742.099999999991</v>
      </c>
      <c r="Y6" s="377">
        <f t="shared" si="1"/>
        <v>-68908.2</v>
      </c>
    </row>
    <row r="7" spans="1:28" s="281" customFormat="1" ht="15" customHeight="1">
      <c r="A7" s="1018"/>
      <c r="B7" s="379"/>
      <c r="C7" s="380"/>
      <c r="D7" s="380"/>
      <c r="E7" s="380"/>
      <c r="F7" s="380"/>
      <c r="G7" s="380"/>
      <c r="H7" s="380"/>
      <c r="I7" s="380"/>
      <c r="J7" s="380"/>
      <c r="K7" s="380"/>
      <c r="L7" s="380"/>
      <c r="M7" s="920"/>
      <c r="N7" s="380"/>
      <c r="O7" s="380"/>
      <c r="P7" s="380"/>
      <c r="Q7" s="380"/>
      <c r="R7" s="380"/>
      <c r="S7" s="380"/>
      <c r="T7" s="380"/>
      <c r="U7" s="380"/>
      <c r="V7" s="380"/>
      <c r="W7" s="380"/>
      <c r="X7" s="380"/>
      <c r="Y7" s="380"/>
    </row>
    <row r="8" spans="1:28" ht="12" customHeight="1">
      <c r="A8" s="1176" t="s">
        <v>23</v>
      </c>
      <c r="B8" s="1015">
        <f>'Plant &amp; Fish Production'!J2</f>
        <v>6</v>
      </c>
      <c r="C8" s="1010">
        <f t="shared" ref="C8:M8" si="2">IF(B8&lt;12, B8+1, 1)</f>
        <v>7</v>
      </c>
      <c r="D8" s="1010">
        <f t="shared" si="2"/>
        <v>8</v>
      </c>
      <c r="E8" s="1010">
        <f t="shared" si="2"/>
        <v>9</v>
      </c>
      <c r="F8" s="1010">
        <f t="shared" si="2"/>
        <v>10</v>
      </c>
      <c r="G8" s="1010">
        <f t="shared" si="2"/>
        <v>11</v>
      </c>
      <c r="H8" s="1010">
        <f t="shared" si="2"/>
        <v>12</v>
      </c>
      <c r="I8" s="1010">
        <f t="shared" si="2"/>
        <v>1</v>
      </c>
      <c r="J8" s="1010">
        <f t="shared" si="2"/>
        <v>2</v>
      </c>
      <c r="K8" s="1010">
        <f t="shared" si="2"/>
        <v>3</v>
      </c>
      <c r="L8" s="1010">
        <f t="shared" si="2"/>
        <v>4</v>
      </c>
      <c r="M8" s="1012">
        <f t="shared" si="2"/>
        <v>5</v>
      </c>
      <c r="N8" s="1011">
        <f>B8</f>
        <v>6</v>
      </c>
      <c r="O8" s="1010">
        <f t="shared" ref="O8:Y8" si="3">IF(N8&lt;12, N8+1, 1)</f>
        <v>7</v>
      </c>
      <c r="P8" s="1010">
        <f t="shared" si="3"/>
        <v>8</v>
      </c>
      <c r="Q8" s="1010">
        <f t="shared" si="3"/>
        <v>9</v>
      </c>
      <c r="R8" s="1010">
        <f t="shared" si="3"/>
        <v>10</v>
      </c>
      <c r="S8" s="1010">
        <f t="shared" si="3"/>
        <v>11</v>
      </c>
      <c r="T8" s="1010">
        <f t="shared" si="3"/>
        <v>12</v>
      </c>
      <c r="U8" s="1010">
        <f t="shared" si="3"/>
        <v>1</v>
      </c>
      <c r="V8" s="1010">
        <f t="shared" si="3"/>
        <v>2</v>
      </c>
      <c r="W8" s="1010">
        <f t="shared" si="3"/>
        <v>3</v>
      </c>
      <c r="X8" s="1010">
        <f t="shared" si="3"/>
        <v>4</v>
      </c>
      <c r="Y8" s="1010">
        <f t="shared" si="3"/>
        <v>5</v>
      </c>
      <c r="Z8" s="282"/>
      <c r="AA8" s="283"/>
      <c r="AB8" s="283"/>
    </row>
    <row r="9" spans="1:28" ht="12" customHeight="1">
      <c r="A9" s="1019" t="s">
        <v>28</v>
      </c>
      <c r="B9" s="1007">
        <f>'Produce &amp; Fish Sales'!C18</f>
        <v>0</v>
      </c>
      <c r="C9" s="1008">
        <f>'Produce &amp; Fish Sales'!D18</f>
        <v>0</v>
      </c>
      <c r="D9" s="1008">
        <f>'Produce &amp; Fish Sales'!E18</f>
        <v>259.35000000000008</v>
      </c>
      <c r="E9" s="1008">
        <f>'Produce &amp; Fish Sales'!F18</f>
        <v>518.70000000000016</v>
      </c>
      <c r="F9" s="1008">
        <f>'Produce &amp; Fish Sales'!G18</f>
        <v>0</v>
      </c>
      <c r="G9" s="1008">
        <f>'Produce &amp; Fish Sales'!H18</f>
        <v>0</v>
      </c>
      <c r="H9" s="1008">
        <f>'Produce &amp; Fish Sales'!I18</f>
        <v>0</v>
      </c>
      <c r="I9" s="1008">
        <f>'Produce &amp; Fish Sales'!J18</f>
        <v>0</v>
      </c>
      <c r="J9" s="1008">
        <f>'Produce &amp; Fish Sales'!K18</f>
        <v>0</v>
      </c>
      <c r="K9" s="1008">
        <f>'Produce &amp; Fish Sales'!L18</f>
        <v>0</v>
      </c>
      <c r="L9" s="1008">
        <f>'Produce &amp; Fish Sales'!M18</f>
        <v>2074.8000000000006</v>
      </c>
      <c r="M9" s="1009">
        <f>'Produce &amp; Fish Sales'!N18</f>
        <v>2334.1500000000005</v>
      </c>
      <c r="N9" s="1007">
        <f>'Produce &amp; Fish Sales'!C27</f>
        <v>2593.5000000000005</v>
      </c>
      <c r="O9" s="1008">
        <f>'Produce &amp; Fish Sales'!D27</f>
        <v>2593.5000000000005</v>
      </c>
      <c r="P9" s="1008">
        <f>'Produce &amp; Fish Sales'!E27</f>
        <v>2593.5000000000005</v>
      </c>
      <c r="Q9" s="1008">
        <f>'Produce &amp; Fish Sales'!F27</f>
        <v>2593.5000000000005</v>
      </c>
      <c r="R9" s="1008">
        <f>'Produce &amp; Fish Sales'!G27</f>
        <v>0</v>
      </c>
      <c r="S9" s="1008">
        <f>'Produce &amp; Fish Sales'!H27</f>
        <v>0</v>
      </c>
      <c r="T9" s="1008">
        <f>'Produce &amp; Fish Sales'!I27</f>
        <v>0</v>
      </c>
      <c r="U9" s="1008">
        <f>'Produce &amp; Fish Sales'!J27</f>
        <v>0</v>
      </c>
      <c r="V9" s="1008">
        <f>'Produce &amp; Fish Sales'!K27</f>
        <v>0</v>
      </c>
      <c r="W9" s="1008">
        <f>'Produce &amp; Fish Sales'!L27</f>
        <v>0</v>
      </c>
      <c r="X9" s="1008">
        <f>'Produce &amp; Fish Sales'!M27</f>
        <v>2593.5000000000005</v>
      </c>
      <c r="Y9" s="1008">
        <f>'Produce &amp; Fish Sales'!N27</f>
        <v>2593.5000000000005</v>
      </c>
      <c r="Z9" s="284"/>
      <c r="AA9" s="284"/>
      <c r="AB9" s="284"/>
    </row>
    <row r="10" spans="1:28" ht="12" customHeight="1">
      <c r="A10" s="1019" t="s">
        <v>36</v>
      </c>
      <c r="B10" s="381">
        <f>'Produce &amp; Fish Sales'!C31</f>
        <v>0</v>
      </c>
      <c r="C10" s="382">
        <f>'Produce &amp; Fish Sales'!D31</f>
        <v>0</v>
      </c>
      <c r="D10" s="382">
        <f>'Produce &amp; Fish Sales'!E31</f>
        <v>0</v>
      </c>
      <c r="E10" s="382">
        <f>'Produce &amp; Fish Sales'!F31</f>
        <v>0</v>
      </c>
      <c r="F10" s="382">
        <f>'Produce &amp; Fish Sales'!G31</f>
        <v>0</v>
      </c>
      <c r="G10" s="382">
        <f>'Produce &amp; Fish Sales'!H31</f>
        <v>0</v>
      </c>
      <c r="H10" s="382" t="str">
        <f>'Produce &amp; Fish Sales'!I31</f>
        <v/>
      </c>
      <c r="I10" s="382" t="str">
        <f>'Produce &amp; Fish Sales'!J31</f>
        <v/>
      </c>
      <c r="J10" s="382" t="str">
        <f>'Produce &amp; Fish Sales'!K31</f>
        <v/>
      </c>
      <c r="K10" s="382" t="str">
        <f>'Produce &amp; Fish Sales'!L31</f>
        <v/>
      </c>
      <c r="L10" s="382" t="str">
        <f>'Produce &amp; Fish Sales'!M31</f>
        <v/>
      </c>
      <c r="M10" s="921" t="str">
        <f>'Produce &amp; Fish Sales'!N31</f>
        <v/>
      </c>
      <c r="N10" s="381" t="str">
        <f>'Produce &amp; Fish Sales'!C33</f>
        <v/>
      </c>
      <c r="O10" s="382" t="str">
        <f>'Produce &amp; Fish Sales'!D33</f>
        <v/>
      </c>
      <c r="P10" s="382" t="str">
        <f>'Produce &amp; Fish Sales'!E33</f>
        <v/>
      </c>
      <c r="Q10" s="382" t="str">
        <f>'Produce &amp; Fish Sales'!F33</f>
        <v/>
      </c>
      <c r="R10" s="382" t="str">
        <f>'Produce &amp; Fish Sales'!G33</f>
        <v/>
      </c>
      <c r="S10" s="382" t="str">
        <f>'Produce &amp; Fish Sales'!H33</f>
        <v/>
      </c>
      <c r="T10" s="382" t="str">
        <f>'Produce &amp; Fish Sales'!I33</f>
        <v/>
      </c>
      <c r="U10" s="382" t="str">
        <f>'Produce &amp; Fish Sales'!J33</f>
        <v/>
      </c>
      <c r="V10" s="382" t="str">
        <f>'Produce &amp; Fish Sales'!K33</f>
        <v/>
      </c>
      <c r="W10" s="382" t="str">
        <f>'Produce &amp; Fish Sales'!L33</f>
        <v/>
      </c>
      <c r="X10" s="382" t="str">
        <f>'Produce &amp; Fish Sales'!M33</f>
        <v/>
      </c>
      <c r="Y10" s="382" t="str">
        <f>'Produce &amp; Fish Sales'!N33</f>
        <v/>
      </c>
      <c r="Z10" s="284"/>
      <c r="AA10" s="284"/>
      <c r="AB10" s="284"/>
    </row>
    <row r="11" spans="1:28" ht="12" customHeight="1">
      <c r="A11" s="1019" t="s">
        <v>38</v>
      </c>
      <c r="B11" s="381">
        <f>'Misc - Other Rev'!C25</f>
        <v>100</v>
      </c>
      <c r="C11" s="381">
        <f>'Misc - Other Rev'!D25</f>
        <v>125</v>
      </c>
      <c r="D11" s="381">
        <f>'Misc - Other Rev'!E25</f>
        <v>0</v>
      </c>
      <c r="E11" s="381">
        <f>'Misc - Other Rev'!F25</f>
        <v>0</v>
      </c>
      <c r="F11" s="381">
        <f>'Misc - Other Rev'!G25</f>
        <v>25</v>
      </c>
      <c r="G11" s="381">
        <f>'Misc - Other Rev'!H25</f>
        <v>0</v>
      </c>
      <c r="H11" s="381">
        <f>'Misc - Other Rev'!I25</f>
        <v>0</v>
      </c>
      <c r="I11" s="381">
        <f>'Misc - Other Rev'!J25</f>
        <v>25</v>
      </c>
      <c r="J11" s="381">
        <f>'Misc - Other Rev'!K25</f>
        <v>0</v>
      </c>
      <c r="K11" s="381">
        <f>'Misc - Other Rev'!L25</f>
        <v>0</v>
      </c>
      <c r="L11" s="381">
        <f>'Misc - Other Rev'!M25</f>
        <v>0</v>
      </c>
      <c r="M11" s="921">
        <f>'Misc - Other Rev'!N25</f>
        <v>0</v>
      </c>
      <c r="N11" s="381">
        <f>'Misc - Other Rev'!O25</f>
        <v>0</v>
      </c>
      <c r="O11" s="381">
        <f>'Misc - Other Rev'!P25</f>
        <v>0</v>
      </c>
      <c r="P11" s="381">
        <f>'Misc - Other Rev'!Q25</f>
        <v>0</v>
      </c>
      <c r="Q11" s="381">
        <f>'Misc - Other Rev'!R25</f>
        <v>0</v>
      </c>
      <c r="R11" s="381">
        <f>'Misc - Other Rev'!S25</f>
        <v>0</v>
      </c>
      <c r="S11" s="381">
        <f>'Misc - Other Rev'!T25</f>
        <v>0</v>
      </c>
      <c r="T11" s="381">
        <f>'Misc - Other Rev'!U25</f>
        <v>0</v>
      </c>
      <c r="U11" s="381">
        <f>'Misc - Other Rev'!V25</f>
        <v>0</v>
      </c>
      <c r="V11" s="381">
        <f>'Misc - Other Rev'!W25</f>
        <v>0</v>
      </c>
      <c r="W11" s="381">
        <f>'Misc - Other Rev'!X25</f>
        <v>0</v>
      </c>
      <c r="X11" s="381">
        <f>'Misc - Other Rev'!Y25</f>
        <v>0</v>
      </c>
      <c r="Y11" s="381">
        <f>'Misc - Other Rev'!Z25</f>
        <v>0</v>
      </c>
      <c r="Z11" s="278"/>
      <c r="AA11" s="278"/>
      <c r="AB11" s="278"/>
    </row>
    <row r="12" spans="1:28" ht="12" customHeight="1">
      <c r="A12" s="1020" t="s">
        <v>39</v>
      </c>
      <c r="B12" s="381">
        <f t="shared" ref="B12:M12" si="4">SUM(B9:B11)</f>
        <v>100</v>
      </c>
      <c r="C12" s="382">
        <f t="shared" si="4"/>
        <v>125</v>
      </c>
      <c r="D12" s="382">
        <f t="shared" si="4"/>
        <v>259.35000000000008</v>
      </c>
      <c r="E12" s="382">
        <f t="shared" si="4"/>
        <v>518.70000000000016</v>
      </c>
      <c r="F12" s="382">
        <f t="shared" si="4"/>
        <v>25</v>
      </c>
      <c r="G12" s="382">
        <f t="shared" si="4"/>
        <v>0</v>
      </c>
      <c r="H12" s="382">
        <f t="shared" si="4"/>
        <v>0</v>
      </c>
      <c r="I12" s="382">
        <f t="shared" si="4"/>
        <v>25</v>
      </c>
      <c r="J12" s="382">
        <f t="shared" si="4"/>
        <v>0</v>
      </c>
      <c r="K12" s="382">
        <f t="shared" si="4"/>
        <v>0</v>
      </c>
      <c r="L12" s="382">
        <f t="shared" si="4"/>
        <v>2074.8000000000006</v>
      </c>
      <c r="M12" s="921">
        <f t="shared" si="4"/>
        <v>2334.1500000000005</v>
      </c>
      <c r="N12" s="381">
        <f t="shared" ref="N12:Y12" si="5">SUM(N9:N11)</f>
        <v>2593.5000000000005</v>
      </c>
      <c r="O12" s="382">
        <f t="shared" si="5"/>
        <v>2593.5000000000005</v>
      </c>
      <c r="P12" s="382">
        <f t="shared" si="5"/>
        <v>2593.5000000000005</v>
      </c>
      <c r="Q12" s="382">
        <f t="shared" si="5"/>
        <v>2593.5000000000005</v>
      </c>
      <c r="R12" s="382">
        <f t="shared" si="5"/>
        <v>0</v>
      </c>
      <c r="S12" s="382">
        <f t="shared" si="5"/>
        <v>0</v>
      </c>
      <c r="T12" s="382">
        <f t="shared" si="5"/>
        <v>0</v>
      </c>
      <c r="U12" s="382">
        <f t="shared" si="5"/>
        <v>0</v>
      </c>
      <c r="V12" s="382">
        <f t="shared" si="5"/>
        <v>0</v>
      </c>
      <c r="W12" s="382">
        <f t="shared" si="5"/>
        <v>0</v>
      </c>
      <c r="X12" s="382">
        <f t="shared" si="5"/>
        <v>2593.5000000000005</v>
      </c>
      <c r="Y12" s="382">
        <f t="shared" si="5"/>
        <v>2593.5000000000005</v>
      </c>
      <c r="Z12" s="284"/>
      <c r="AA12" s="284"/>
      <c r="AB12" s="284"/>
    </row>
    <row r="13" spans="1:28" ht="12" customHeight="1">
      <c r="A13" s="1176" t="s">
        <v>41</v>
      </c>
      <c r="B13" s="1177"/>
      <c r="C13" s="1178"/>
      <c r="D13" s="1178"/>
      <c r="E13" s="1178"/>
      <c r="F13" s="1178"/>
      <c r="G13" s="1178"/>
      <c r="H13" s="1178"/>
      <c r="I13" s="1178"/>
      <c r="J13" s="1178"/>
      <c r="K13" s="1178"/>
      <c r="L13" s="1178"/>
      <c r="M13" s="1179"/>
      <c r="N13" s="1177"/>
      <c r="O13" s="1178"/>
      <c r="P13" s="1178"/>
      <c r="Q13" s="1178"/>
      <c r="R13" s="1178"/>
      <c r="S13" s="1178"/>
      <c r="T13" s="1178"/>
      <c r="U13" s="1178"/>
      <c r="V13" s="1178"/>
      <c r="W13" s="1178"/>
      <c r="X13" s="1178"/>
      <c r="Y13" s="1178"/>
      <c r="Z13" s="284"/>
      <c r="AA13" s="284"/>
      <c r="AB13" s="284"/>
    </row>
    <row r="14" spans="1:28" ht="12" customHeight="1">
      <c r="A14" s="1019" t="s">
        <v>42</v>
      </c>
      <c r="B14" s="383">
        <f>IFERROR('REV &amp; COGS'!$E$12+'REV &amp; COGS'!$I$10, 0)</f>
        <v>0</v>
      </c>
      <c r="C14" s="384">
        <f>'REV &amp; COGS'!$E$12</f>
        <v>0</v>
      </c>
      <c r="D14" s="384">
        <f>IF('REV &amp; COGS'!$F$10=2, 'REV &amp; COGS'!$I$10+'REV &amp; COGS'!$E$12, 'REV &amp; COGS'!$E$12)</f>
        <v>0</v>
      </c>
      <c r="E14" s="384">
        <f>IF('REV &amp; COGS'!$F$10=3, 'REV &amp; COGS'!$I$10+'REV &amp; COGS'!$E$12, 'REV &amp; COGS'!$E$12)</f>
        <v>0</v>
      </c>
      <c r="F14" s="384">
        <f>IF('REV &amp; COGS'!$F$10=2, 'REV &amp; COGS'!$I$10+'REV &amp; COGS'!$E$12, IF('REV &amp; COGS'!$F$10=4, 'REV &amp; COGS'!$I$10+'REV &amp; COGS'!$E$12, 'REV &amp; COGS'!$E$12))</f>
        <v>0</v>
      </c>
      <c r="G14" s="384">
        <f>IF('REV &amp; COGS'!$F$10=5, 'REV &amp; COGS'!$I$10+'REV &amp; COGS'!$E$12, 'REV &amp; COGS'!$E$12)</f>
        <v>0</v>
      </c>
      <c r="H14" s="384">
        <f>IF('REV &amp; COGS'!$F$10=2, 'REV &amp; COGS'!$I$10+'REV &amp; COGS'!$E$12, IF('REV &amp; COGS'!$F$10=3, 'REV &amp; COGS'!$I$10+'REV &amp; COGS'!$E$12, IF('REV &amp; COGS'!$F$10=6, 'REV &amp; COGS'!$I$10+'REV &amp; COGS'!$E$12, 'REV &amp; COGS'!$E$12)))</f>
        <v>0</v>
      </c>
      <c r="I14" s="384">
        <f>'REV &amp; COGS'!$E$12</f>
        <v>0</v>
      </c>
      <c r="J14" s="384">
        <f>IF('REV &amp; COGS'!$F$10=2, 'REV &amp; COGS'!$I$10+'REV &amp; COGS'!$E$12, IF('REV &amp; COGS'!$F$10=4, 'REV &amp; COGS'!$I$10+'REV &amp; COGS'!$E$12, 'REV &amp; COGS'!$E$12))</f>
        <v>0</v>
      </c>
      <c r="K14" s="384">
        <f>IF('REV &amp; COGS'!$F$10=3, 'REV &amp; COGS'!$I$10+'REV &amp; COGS'!$E$12, 'REV &amp; COGS'!$E$12)</f>
        <v>0</v>
      </c>
      <c r="L14" s="384">
        <f>IF('REV &amp; COGS'!$F$10=2, 'REV &amp; COGS'!$I$10+'REV &amp; COGS'!$E$12, IF('REV &amp; COGS'!$F$10=5, 'REV &amp; COGS'!$I$10+'REV &amp; COGS'!$E$12, 'REV &amp; COGS'!$E$12))</f>
        <v>0</v>
      </c>
      <c r="M14" s="1013">
        <f>'REV &amp; COGS'!E12</f>
        <v>0</v>
      </c>
      <c r="N14" s="383">
        <f>IFERROR('REV &amp; COGS'!$E$12+'REV &amp; COGS'!$I$10, 0)</f>
        <v>0</v>
      </c>
      <c r="O14" s="384">
        <f>'REV &amp; COGS'!$E$12</f>
        <v>0</v>
      </c>
      <c r="P14" s="384">
        <f>IF('REV &amp; COGS'!$F$10=2, 'REV &amp; COGS'!$I$10+'REV &amp; COGS'!$E$12, 'REV &amp; COGS'!$E$12)</f>
        <v>0</v>
      </c>
      <c r="Q14" s="384">
        <f>IF('REV &amp; COGS'!$F$10=3, 'REV &amp; COGS'!$I$10+'REV &amp; COGS'!$E$12, 'REV &amp; COGS'!$E$12)</f>
        <v>0</v>
      </c>
      <c r="R14" s="384">
        <f>IF('REV &amp; COGS'!$F$10=2, 'REV &amp; COGS'!$I$10+'REV &amp; COGS'!$E$12, IF('REV &amp; COGS'!$F$10=4, 'REV &amp; COGS'!$I$10+'REV &amp; COGS'!$E$12, 'REV &amp; COGS'!$E$12))</f>
        <v>0</v>
      </c>
      <c r="S14" s="384">
        <f>IF('REV &amp; COGS'!$F$10=5, 'REV &amp; COGS'!$I$10+'REV &amp; COGS'!$E$12, 'REV &amp; COGS'!$E$12)</f>
        <v>0</v>
      </c>
      <c r="T14" s="384">
        <f>IF('REV &amp; COGS'!$F$10=2, 'REV &amp; COGS'!$I$10+'REV &amp; COGS'!$E$12, IF('REV &amp; COGS'!$F$10=3, 'REV &amp; COGS'!$I$10+'REV &amp; COGS'!$E$12, IF('REV &amp; COGS'!$F$10=6, 'REV &amp; COGS'!$I$10+'REV &amp; COGS'!$E$12, 'REV &amp; COGS'!$E$12)))</f>
        <v>0</v>
      </c>
      <c r="U14" s="384">
        <f>'REV &amp; COGS'!$E$12</f>
        <v>0</v>
      </c>
      <c r="V14" s="384">
        <f>IF('REV &amp; COGS'!$F$10=2, 'REV &amp; COGS'!$I$10+'REV &amp; COGS'!$E$12, IF('REV &amp; COGS'!$F$10=4, 'REV &amp; COGS'!$I$10+'REV &amp; COGS'!$E$12, 'REV &amp; COGS'!$E$12))</f>
        <v>0</v>
      </c>
      <c r="W14" s="384">
        <f>IF('REV &amp; COGS'!$F$10=3, 'REV &amp; COGS'!$I$10+'REV &amp; COGS'!$E$12, 'REV &amp; COGS'!$E$12)</f>
        <v>0</v>
      </c>
      <c r="X14" s="384">
        <f>IF('REV &amp; COGS'!$F$10=2, 'REV &amp; COGS'!$I$10+'REV &amp; COGS'!$E$12, IF('REV &amp; COGS'!$F$10=5, 'REV &amp; COGS'!$I$10+'REV &amp; COGS'!$E$12, 'REV &amp; COGS'!$E$12))</f>
        <v>0</v>
      </c>
      <c r="Y14" s="384">
        <f>'REV &amp; COGS'!E12</f>
        <v>0</v>
      </c>
      <c r="Z14" s="284"/>
      <c r="AA14" s="284"/>
      <c r="AB14" s="284"/>
    </row>
    <row r="15" spans="1:28" ht="12" customHeight="1">
      <c r="A15" s="1022" t="s">
        <v>780</v>
      </c>
      <c r="B15" s="381">
        <f>'COGS Monthly'!D26</f>
        <v>84.933333333333337</v>
      </c>
      <c r="C15" s="381">
        <f>'COGS Monthly'!E26</f>
        <v>84.933333333333337</v>
      </c>
      <c r="D15" s="381">
        <f>'COGS Monthly'!F26</f>
        <v>84.933333333333337</v>
      </c>
      <c r="E15" s="381">
        <f>'COGS Monthly'!G26</f>
        <v>84.933333333333337</v>
      </c>
      <c r="F15" s="381">
        <f>'COGS Monthly'!H26</f>
        <v>0</v>
      </c>
      <c r="G15" s="381">
        <f>'COGS Monthly'!I26</f>
        <v>0</v>
      </c>
      <c r="H15" s="381">
        <f>'COGS Monthly'!J26</f>
        <v>0</v>
      </c>
      <c r="I15" s="381">
        <f>'COGS Monthly'!K26</f>
        <v>0</v>
      </c>
      <c r="J15" s="381">
        <f>'COGS Monthly'!L26</f>
        <v>0</v>
      </c>
      <c r="K15" s="381">
        <f>'COGS Monthly'!M26</f>
        <v>0</v>
      </c>
      <c r="L15" s="381">
        <f>'COGS Monthly'!N26</f>
        <v>84.933333333333337</v>
      </c>
      <c r="M15" s="381">
        <f>'COGS Monthly'!O26</f>
        <v>84.933333333333337</v>
      </c>
      <c r="N15" s="381">
        <f>'COGS Monthly'!P26</f>
        <v>84.933333333333337</v>
      </c>
      <c r="O15" s="381">
        <f>'COGS Monthly'!Q26</f>
        <v>84.933333333333337</v>
      </c>
      <c r="P15" s="381">
        <f>'COGS Monthly'!R26</f>
        <v>84.933333333333337</v>
      </c>
      <c r="Q15" s="381">
        <f>'COGS Monthly'!S26</f>
        <v>84.933333333333337</v>
      </c>
      <c r="R15" s="381">
        <f>'COGS Monthly'!T26</f>
        <v>0</v>
      </c>
      <c r="S15" s="381">
        <f>'COGS Monthly'!U26</f>
        <v>0</v>
      </c>
      <c r="T15" s="381">
        <f>'COGS Monthly'!V26</f>
        <v>0</v>
      </c>
      <c r="U15" s="381">
        <f>'COGS Monthly'!W26</f>
        <v>0</v>
      </c>
      <c r="V15" s="381">
        <f>'COGS Monthly'!X26</f>
        <v>0</v>
      </c>
      <c r="W15" s="381">
        <f>'COGS Monthly'!Y26</f>
        <v>0</v>
      </c>
      <c r="X15" s="381">
        <f>'COGS Monthly'!Z26</f>
        <v>84.933333333333337</v>
      </c>
      <c r="Y15" s="381">
        <f>'COGS Monthly'!AA26</f>
        <v>84.933333333333337</v>
      </c>
      <c r="Z15" s="284"/>
      <c r="AA15" s="284"/>
      <c r="AB15" s="284"/>
    </row>
    <row r="16" spans="1:28" ht="12" customHeight="1">
      <c r="A16" s="1020" t="s">
        <v>49</v>
      </c>
      <c r="B16" s="381">
        <f t="shared" ref="B16:Y16" si="6">SUM(B13:B15)</f>
        <v>84.933333333333337</v>
      </c>
      <c r="C16" s="381">
        <f t="shared" si="6"/>
        <v>84.933333333333337</v>
      </c>
      <c r="D16" s="381">
        <f t="shared" si="6"/>
        <v>84.933333333333337</v>
      </c>
      <c r="E16" s="381">
        <f t="shared" si="6"/>
        <v>84.933333333333337</v>
      </c>
      <c r="F16" s="381">
        <f t="shared" si="6"/>
        <v>0</v>
      </c>
      <c r="G16" s="381">
        <f t="shared" si="6"/>
        <v>0</v>
      </c>
      <c r="H16" s="381">
        <f t="shared" si="6"/>
        <v>0</v>
      </c>
      <c r="I16" s="381">
        <f t="shared" si="6"/>
        <v>0</v>
      </c>
      <c r="J16" s="381">
        <f t="shared" si="6"/>
        <v>0</v>
      </c>
      <c r="K16" s="381">
        <f t="shared" si="6"/>
        <v>0</v>
      </c>
      <c r="L16" s="381">
        <f t="shared" si="6"/>
        <v>84.933333333333337</v>
      </c>
      <c r="M16" s="381">
        <f t="shared" si="6"/>
        <v>84.933333333333337</v>
      </c>
      <c r="N16" s="381">
        <f t="shared" si="6"/>
        <v>84.933333333333337</v>
      </c>
      <c r="O16" s="381">
        <f t="shared" si="6"/>
        <v>84.933333333333337</v>
      </c>
      <c r="P16" s="381">
        <f t="shared" si="6"/>
        <v>84.933333333333337</v>
      </c>
      <c r="Q16" s="381">
        <f t="shared" si="6"/>
        <v>84.933333333333337</v>
      </c>
      <c r="R16" s="381">
        <f t="shared" si="6"/>
        <v>0</v>
      </c>
      <c r="S16" s="381">
        <f t="shared" si="6"/>
        <v>0</v>
      </c>
      <c r="T16" s="381">
        <f t="shared" si="6"/>
        <v>0</v>
      </c>
      <c r="U16" s="381">
        <f t="shared" si="6"/>
        <v>0</v>
      </c>
      <c r="V16" s="381">
        <f t="shared" si="6"/>
        <v>0</v>
      </c>
      <c r="W16" s="381">
        <f t="shared" si="6"/>
        <v>0</v>
      </c>
      <c r="X16" s="381">
        <f t="shared" si="6"/>
        <v>84.933333333333337</v>
      </c>
      <c r="Y16" s="381">
        <f t="shared" si="6"/>
        <v>84.933333333333337</v>
      </c>
      <c r="Z16" s="284"/>
      <c r="AA16" s="284"/>
      <c r="AB16" s="284"/>
    </row>
    <row r="17" spans="1:28" ht="12" customHeight="1">
      <c r="A17" s="1020" t="s">
        <v>51</v>
      </c>
      <c r="B17" s="381">
        <f t="shared" ref="B17:Y17" si="7">B12-B16</f>
        <v>15.066666666666663</v>
      </c>
      <c r="C17" s="382">
        <f t="shared" si="7"/>
        <v>40.066666666666663</v>
      </c>
      <c r="D17" s="382">
        <f t="shared" si="7"/>
        <v>174.41666666666674</v>
      </c>
      <c r="E17" s="382">
        <f t="shared" si="7"/>
        <v>433.76666666666682</v>
      </c>
      <c r="F17" s="382">
        <f t="shared" si="7"/>
        <v>25</v>
      </c>
      <c r="G17" s="382">
        <f t="shared" si="7"/>
        <v>0</v>
      </c>
      <c r="H17" s="382">
        <f t="shared" si="7"/>
        <v>0</v>
      </c>
      <c r="I17" s="382">
        <f t="shared" si="7"/>
        <v>25</v>
      </c>
      <c r="J17" s="382">
        <f t="shared" si="7"/>
        <v>0</v>
      </c>
      <c r="K17" s="382">
        <f t="shared" si="7"/>
        <v>0</v>
      </c>
      <c r="L17" s="382">
        <f t="shared" si="7"/>
        <v>1989.8666666666672</v>
      </c>
      <c r="M17" s="921">
        <f t="shared" si="7"/>
        <v>2249.2166666666672</v>
      </c>
      <c r="N17" s="381">
        <f t="shared" si="7"/>
        <v>2508.5666666666671</v>
      </c>
      <c r="O17" s="382">
        <f t="shared" si="7"/>
        <v>2508.5666666666671</v>
      </c>
      <c r="P17" s="382">
        <f t="shared" si="7"/>
        <v>2508.5666666666671</v>
      </c>
      <c r="Q17" s="382">
        <f t="shared" si="7"/>
        <v>2508.5666666666671</v>
      </c>
      <c r="R17" s="382">
        <f t="shared" si="7"/>
        <v>0</v>
      </c>
      <c r="S17" s="382">
        <f t="shared" si="7"/>
        <v>0</v>
      </c>
      <c r="T17" s="382">
        <f t="shared" si="7"/>
        <v>0</v>
      </c>
      <c r="U17" s="382">
        <f t="shared" si="7"/>
        <v>0</v>
      </c>
      <c r="V17" s="382">
        <f t="shared" si="7"/>
        <v>0</v>
      </c>
      <c r="W17" s="382">
        <f t="shared" si="7"/>
        <v>0</v>
      </c>
      <c r="X17" s="382">
        <f t="shared" si="7"/>
        <v>2508.5666666666671</v>
      </c>
      <c r="Y17" s="382">
        <f t="shared" si="7"/>
        <v>2508.5666666666671</v>
      </c>
      <c r="Z17" s="284"/>
      <c r="AA17" s="284"/>
      <c r="AB17" s="284"/>
    </row>
    <row r="18" spans="1:28" ht="12" customHeight="1">
      <c r="A18" s="1021" t="s">
        <v>58</v>
      </c>
      <c r="B18" s="385">
        <f t="shared" ref="B18:Y18" si="8">IF(B12=0, "", B17/B12)</f>
        <v>0.15066666666666662</v>
      </c>
      <c r="C18" s="386">
        <f t="shared" si="8"/>
        <v>0.32053333333333328</v>
      </c>
      <c r="D18" s="386">
        <f t="shared" si="8"/>
        <v>0.67251461988304106</v>
      </c>
      <c r="E18" s="386">
        <f t="shared" si="8"/>
        <v>0.83625730994152048</v>
      </c>
      <c r="F18" s="386">
        <f t="shared" si="8"/>
        <v>1</v>
      </c>
      <c r="G18" s="386" t="str">
        <f t="shared" si="8"/>
        <v/>
      </c>
      <c r="H18" s="386" t="str">
        <f t="shared" si="8"/>
        <v/>
      </c>
      <c r="I18" s="386">
        <f t="shared" si="8"/>
        <v>1</v>
      </c>
      <c r="J18" s="386" t="str">
        <f t="shared" si="8"/>
        <v/>
      </c>
      <c r="K18" s="386" t="str">
        <f t="shared" si="8"/>
        <v/>
      </c>
      <c r="L18" s="386">
        <f t="shared" si="8"/>
        <v>0.95906432748538006</v>
      </c>
      <c r="M18" s="1014">
        <f t="shared" si="8"/>
        <v>0.96361273554256011</v>
      </c>
      <c r="N18" s="385">
        <f t="shared" si="8"/>
        <v>0.96725146198830403</v>
      </c>
      <c r="O18" s="386">
        <f t="shared" si="8"/>
        <v>0.96725146198830403</v>
      </c>
      <c r="P18" s="386">
        <f t="shared" si="8"/>
        <v>0.96725146198830403</v>
      </c>
      <c r="Q18" s="386">
        <f t="shared" si="8"/>
        <v>0.96725146198830403</v>
      </c>
      <c r="R18" s="386" t="str">
        <f t="shared" si="8"/>
        <v/>
      </c>
      <c r="S18" s="386" t="str">
        <f t="shared" si="8"/>
        <v/>
      </c>
      <c r="T18" s="386" t="str">
        <f t="shared" si="8"/>
        <v/>
      </c>
      <c r="U18" s="386" t="str">
        <f t="shared" si="8"/>
        <v/>
      </c>
      <c r="V18" s="386" t="str">
        <f t="shared" si="8"/>
        <v/>
      </c>
      <c r="W18" s="386" t="str">
        <f t="shared" si="8"/>
        <v/>
      </c>
      <c r="X18" s="386">
        <f t="shared" si="8"/>
        <v>0.96725146198830403</v>
      </c>
      <c r="Y18" s="386">
        <f t="shared" si="8"/>
        <v>0.96725146198830403</v>
      </c>
      <c r="Z18" s="285"/>
      <c r="AA18" s="286"/>
      <c r="AB18" s="286"/>
    </row>
    <row r="19" spans="1:28" ht="12" customHeight="1">
      <c r="A19" s="1176" t="s">
        <v>52</v>
      </c>
      <c r="B19" s="1177"/>
      <c r="C19" s="1178"/>
      <c r="D19" s="1178"/>
      <c r="E19" s="1178"/>
      <c r="F19" s="1178"/>
      <c r="G19" s="1178"/>
      <c r="H19" s="1178"/>
      <c r="I19" s="1178"/>
      <c r="J19" s="1178"/>
      <c r="K19" s="1178"/>
      <c r="L19" s="1178"/>
      <c r="M19" s="1179"/>
      <c r="N19" s="1177"/>
      <c r="O19" s="1178"/>
      <c r="P19" s="1178"/>
      <c r="Q19" s="1178"/>
      <c r="R19" s="1178"/>
      <c r="S19" s="1178"/>
      <c r="T19" s="1178"/>
      <c r="U19" s="1178"/>
      <c r="V19" s="1178"/>
      <c r="W19" s="1178"/>
      <c r="X19" s="1178"/>
      <c r="Y19" s="1178"/>
      <c r="Z19" s="284"/>
      <c r="AA19" s="287"/>
      <c r="AB19" s="284"/>
    </row>
    <row r="20" spans="1:28" ht="12" customHeight="1">
      <c r="A20" s="1060" t="s">
        <v>643</v>
      </c>
      <c r="B20" s="381">
        <f>'Water Quality'!C41</f>
        <v>0</v>
      </c>
      <c r="C20" s="382">
        <f>'Water Quality'!D41</f>
        <v>0</v>
      </c>
      <c r="D20" s="382">
        <f>'Water Quality'!E41</f>
        <v>0</v>
      </c>
      <c r="E20" s="382">
        <f>'Water Quality'!F41</f>
        <v>0</v>
      </c>
      <c r="F20" s="382">
        <f>'Water Quality'!G41</f>
        <v>0</v>
      </c>
      <c r="G20" s="382">
        <f>'Water Quality'!H41</f>
        <v>0</v>
      </c>
      <c r="H20" s="382">
        <f>'Water Quality'!I41</f>
        <v>0</v>
      </c>
      <c r="I20" s="382">
        <f>'Water Quality'!J41</f>
        <v>0</v>
      </c>
      <c r="J20" s="382">
        <f>'Water Quality'!K41</f>
        <v>0</v>
      </c>
      <c r="K20" s="382">
        <f>'Water Quality'!L41</f>
        <v>0</v>
      </c>
      <c r="L20" s="382">
        <f>'Water Quality'!M41</f>
        <v>0</v>
      </c>
      <c r="M20" s="921">
        <f>'Water Quality'!N41</f>
        <v>0</v>
      </c>
      <c r="N20" s="381">
        <f>'Water Quality'!O41</f>
        <v>0</v>
      </c>
      <c r="O20" s="382">
        <f>'Water Quality'!P41</f>
        <v>0</v>
      </c>
      <c r="P20" s="382">
        <f>'Water Quality'!Q41</f>
        <v>0</v>
      </c>
      <c r="Q20" s="382">
        <f>'Water Quality'!R41</f>
        <v>0</v>
      </c>
      <c r="R20" s="382">
        <f>'Water Quality'!S41</f>
        <v>0</v>
      </c>
      <c r="S20" s="382">
        <f>'Water Quality'!T41</f>
        <v>0</v>
      </c>
      <c r="T20" s="382">
        <f>'Water Quality'!U41</f>
        <v>0</v>
      </c>
      <c r="U20" s="382">
        <f>'Water Quality'!V41</f>
        <v>0</v>
      </c>
      <c r="V20" s="382">
        <f>'Water Quality'!W41</f>
        <v>0</v>
      </c>
      <c r="W20" s="382">
        <f>'Water Quality'!X41</f>
        <v>0</v>
      </c>
      <c r="X20" s="382">
        <f>'Water Quality'!Y41</f>
        <v>0</v>
      </c>
      <c r="Y20" s="382">
        <f>'Water Quality'!Z41</f>
        <v>0</v>
      </c>
      <c r="Z20" s="284"/>
      <c r="AB20" s="284"/>
    </row>
    <row r="21" spans="1:28" ht="12" customHeight="1">
      <c r="A21" s="1060" t="s">
        <v>54</v>
      </c>
      <c r="B21" s="381">
        <f>'Plant and IPM Supplies'!D52</f>
        <v>0</v>
      </c>
      <c r="C21" s="382">
        <f>'Plant and IPM Supplies'!E52</f>
        <v>0</v>
      </c>
      <c r="D21" s="382">
        <f>'Plant and IPM Supplies'!F52</f>
        <v>0</v>
      </c>
      <c r="E21" s="382">
        <f>'Plant and IPM Supplies'!G52</f>
        <v>0</v>
      </c>
      <c r="F21" s="382">
        <f>'Plant and IPM Supplies'!H52</f>
        <v>0</v>
      </c>
      <c r="G21" s="382">
        <f>'Plant and IPM Supplies'!I52</f>
        <v>0</v>
      </c>
      <c r="H21" s="382">
        <f>'Plant and IPM Supplies'!J52</f>
        <v>0</v>
      </c>
      <c r="I21" s="382">
        <f>'Plant and IPM Supplies'!K52</f>
        <v>0</v>
      </c>
      <c r="J21" s="382">
        <f>'Plant and IPM Supplies'!L52</f>
        <v>0</v>
      </c>
      <c r="K21" s="382">
        <f>'Plant and IPM Supplies'!M52</f>
        <v>0</v>
      </c>
      <c r="L21" s="382">
        <f>'Plant and IPM Supplies'!N52</f>
        <v>0</v>
      </c>
      <c r="M21" s="921">
        <f>'Plant and IPM Supplies'!O52</f>
        <v>0</v>
      </c>
      <c r="N21" s="381">
        <f>'Plant and IPM Supplies'!P52</f>
        <v>0</v>
      </c>
      <c r="O21" s="382">
        <f>'Plant and IPM Supplies'!Q52</f>
        <v>0</v>
      </c>
      <c r="P21" s="382">
        <f>'Plant and IPM Supplies'!R52</f>
        <v>0</v>
      </c>
      <c r="Q21" s="382">
        <f>'Plant and IPM Supplies'!S52</f>
        <v>0</v>
      </c>
      <c r="R21" s="382">
        <f>'Plant and IPM Supplies'!T52</f>
        <v>0</v>
      </c>
      <c r="S21" s="382">
        <f>'Plant and IPM Supplies'!U52</f>
        <v>0</v>
      </c>
      <c r="T21" s="382">
        <f>'Plant and IPM Supplies'!V52</f>
        <v>0</v>
      </c>
      <c r="U21" s="382">
        <f>'Plant and IPM Supplies'!W52</f>
        <v>0</v>
      </c>
      <c r="V21" s="382">
        <f>'Plant and IPM Supplies'!X52</f>
        <v>0</v>
      </c>
      <c r="W21" s="382">
        <f>'Plant and IPM Supplies'!Y52</f>
        <v>0</v>
      </c>
      <c r="X21" s="382">
        <f>'Plant and IPM Supplies'!Z52</f>
        <v>0</v>
      </c>
      <c r="Y21" s="382">
        <f>'Plant and IPM Supplies'!AA52</f>
        <v>0</v>
      </c>
      <c r="Z21" s="284"/>
      <c r="AA21" s="284"/>
      <c r="AB21" s="284"/>
    </row>
    <row r="22" spans="1:28" ht="12" customHeight="1">
      <c r="A22" s="1022" t="s">
        <v>50</v>
      </c>
      <c r="B22" s="381">
        <f>Distribution!C33</f>
        <v>0</v>
      </c>
      <c r="C22" s="382">
        <f>Distribution!D33</f>
        <v>0</v>
      </c>
      <c r="D22" s="382">
        <f>Distribution!E33</f>
        <v>0</v>
      </c>
      <c r="E22" s="382">
        <f>Distribution!F33</f>
        <v>0</v>
      </c>
      <c r="F22" s="382">
        <f>Distribution!G33</f>
        <v>0</v>
      </c>
      <c r="G22" s="382">
        <f>Distribution!H33</f>
        <v>0</v>
      </c>
      <c r="H22" s="382">
        <f>Distribution!I33</f>
        <v>0</v>
      </c>
      <c r="I22" s="382">
        <f>Distribution!J33</f>
        <v>0</v>
      </c>
      <c r="J22" s="382">
        <f>Distribution!K33</f>
        <v>0</v>
      </c>
      <c r="K22" s="382">
        <f>Distribution!L33</f>
        <v>0</v>
      </c>
      <c r="L22" s="382">
        <f>Distribution!M33</f>
        <v>0</v>
      </c>
      <c r="M22" s="921">
        <f>Distribution!N33</f>
        <v>0</v>
      </c>
      <c r="N22" s="381">
        <f>Distribution!O33</f>
        <v>0</v>
      </c>
      <c r="O22" s="382">
        <f>Distribution!P33</f>
        <v>0</v>
      </c>
      <c r="P22" s="382">
        <f>Distribution!Q33</f>
        <v>0</v>
      </c>
      <c r="Q22" s="382">
        <f>Distribution!R33</f>
        <v>0</v>
      </c>
      <c r="R22" s="382">
        <f>Distribution!S33</f>
        <v>0</v>
      </c>
      <c r="S22" s="382">
        <f>Distribution!T33</f>
        <v>0</v>
      </c>
      <c r="T22" s="382">
        <f>Distribution!U33</f>
        <v>0</v>
      </c>
      <c r="U22" s="382">
        <f>Distribution!V33</f>
        <v>0</v>
      </c>
      <c r="V22" s="382">
        <f>Distribution!W33</f>
        <v>0</v>
      </c>
      <c r="W22" s="382">
        <f>Distribution!X33</f>
        <v>0</v>
      </c>
      <c r="X22" s="382">
        <f>Distribution!Y33</f>
        <v>0</v>
      </c>
      <c r="Y22" s="382">
        <f>Distribution!Z33</f>
        <v>0</v>
      </c>
      <c r="Z22" s="284"/>
      <c r="AA22" s="284"/>
      <c r="AB22" s="284"/>
    </row>
    <row r="23" spans="1:28" ht="12" customHeight="1">
      <c r="A23" s="1060" t="s">
        <v>56</v>
      </c>
      <c r="B23" s="381">
        <f>'Nutrients and Adjusters'!C31</f>
        <v>0</v>
      </c>
      <c r="C23" s="382">
        <f>'Nutrients and Adjusters'!D31</f>
        <v>0</v>
      </c>
      <c r="D23" s="382">
        <f>'Nutrients and Adjusters'!E31</f>
        <v>0</v>
      </c>
      <c r="E23" s="382">
        <f>'Nutrients and Adjusters'!F31</f>
        <v>0</v>
      </c>
      <c r="F23" s="382">
        <f>'Nutrients and Adjusters'!G31</f>
        <v>0</v>
      </c>
      <c r="G23" s="382">
        <f>'Nutrients and Adjusters'!H31</f>
        <v>0</v>
      </c>
      <c r="H23" s="382">
        <f>'Nutrients and Adjusters'!I31</f>
        <v>0</v>
      </c>
      <c r="I23" s="382">
        <f>'Nutrients and Adjusters'!J31</f>
        <v>0</v>
      </c>
      <c r="J23" s="382">
        <f>'Nutrients and Adjusters'!K31</f>
        <v>0</v>
      </c>
      <c r="K23" s="382">
        <f>'Nutrients and Adjusters'!L31</f>
        <v>0</v>
      </c>
      <c r="L23" s="382">
        <f>'Nutrients and Adjusters'!M31</f>
        <v>0</v>
      </c>
      <c r="M23" s="921">
        <f>'Nutrients and Adjusters'!N31</f>
        <v>0</v>
      </c>
      <c r="N23" s="381">
        <f>'Nutrients and Adjusters'!O31</f>
        <v>0</v>
      </c>
      <c r="O23" s="382">
        <f>'Nutrients and Adjusters'!P31</f>
        <v>0</v>
      </c>
      <c r="P23" s="382">
        <f>'Nutrients and Adjusters'!Q31</f>
        <v>0</v>
      </c>
      <c r="Q23" s="382">
        <f>'Nutrients and Adjusters'!R31</f>
        <v>0</v>
      </c>
      <c r="R23" s="382">
        <f>'Nutrients and Adjusters'!S31</f>
        <v>0</v>
      </c>
      <c r="S23" s="382">
        <f>'Nutrients and Adjusters'!T31</f>
        <v>0</v>
      </c>
      <c r="T23" s="382">
        <f>'Nutrients and Adjusters'!U31</f>
        <v>0</v>
      </c>
      <c r="U23" s="382">
        <f>'Nutrients and Adjusters'!V31</f>
        <v>0</v>
      </c>
      <c r="V23" s="382">
        <f>'Nutrients and Adjusters'!W31</f>
        <v>0</v>
      </c>
      <c r="W23" s="382">
        <f>'Nutrients and Adjusters'!X31</f>
        <v>0</v>
      </c>
      <c r="X23" s="382">
        <f>'Nutrients and Adjusters'!Y31</f>
        <v>0</v>
      </c>
      <c r="Y23" s="382">
        <f>'Nutrients and Adjusters'!Z31</f>
        <v>0</v>
      </c>
      <c r="Z23" s="284"/>
      <c r="AA23" s="284"/>
      <c r="AB23" s="284"/>
    </row>
    <row r="24" spans="1:28" ht="12" customHeight="1">
      <c r="A24" s="1060" t="s">
        <v>57</v>
      </c>
      <c r="B24" s="381">
        <f>'Office Supplies'!C27</f>
        <v>0</v>
      </c>
      <c r="C24" s="382">
        <f>'Office Supplies'!D27</f>
        <v>0</v>
      </c>
      <c r="D24" s="382">
        <f>'Office Supplies'!E27</f>
        <v>0</v>
      </c>
      <c r="E24" s="382">
        <f>'Office Supplies'!F27</f>
        <v>0</v>
      </c>
      <c r="F24" s="382">
        <f>'Office Supplies'!G27</f>
        <v>0</v>
      </c>
      <c r="G24" s="382">
        <f>'Office Supplies'!H27</f>
        <v>0</v>
      </c>
      <c r="H24" s="382">
        <f>'Office Supplies'!I27</f>
        <v>0</v>
      </c>
      <c r="I24" s="382">
        <f>'Office Supplies'!J27</f>
        <v>0</v>
      </c>
      <c r="J24" s="382">
        <f>'Office Supplies'!K27</f>
        <v>0</v>
      </c>
      <c r="K24" s="382">
        <f>'Office Supplies'!L27</f>
        <v>0</v>
      </c>
      <c r="L24" s="382">
        <f>'Office Supplies'!M27</f>
        <v>0</v>
      </c>
      <c r="M24" s="921">
        <f>'Office Supplies'!N27</f>
        <v>0</v>
      </c>
      <c r="N24" s="381">
        <f>'Office Supplies'!O27</f>
        <v>0</v>
      </c>
      <c r="O24" s="382">
        <f>'Office Supplies'!P27</f>
        <v>0</v>
      </c>
      <c r="P24" s="382">
        <f>'Office Supplies'!Q27</f>
        <v>0</v>
      </c>
      <c r="Q24" s="382">
        <f>'Office Supplies'!R27</f>
        <v>0</v>
      </c>
      <c r="R24" s="382">
        <f>'Office Supplies'!S27</f>
        <v>0</v>
      </c>
      <c r="S24" s="382">
        <f>'Office Supplies'!T27</f>
        <v>0</v>
      </c>
      <c r="T24" s="382">
        <f>'Office Supplies'!U27</f>
        <v>0</v>
      </c>
      <c r="U24" s="382">
        <f>'Office Supplies'!V27</f>
        <v>0</v>
      </c>
      <c r="V24" s="382">
        <f>'Office Supplies'!W27</f>
        <v>0</v>
      </c>
      <c r="W24" s="382">
        <f>'Office Supplies'!X27</f>
        <v>0</v>
      </c>
      <c r="X24" s="382">
        <f>'Office Supplies'!Y27</f>
        <v>0</v>
      </c>
      <c r="Y24" s="382">
        <f>'Office Supplies'!Z27</f>
        <v>0</v>
      </c>
      <c r="Z24" s="284"/>
      <c r="AA24" s="284"/>
      <c r="AB24" s="284"/>
    </row>
    <row r="25" spans="1:28" ht="12" customHeight="1">
      <c r="A25" s="1061" t="s">
        <v>804</v>
      </c>
      <c r="B25" s="381">
        <f>'Marketing &amp; Adv'!C30</f>
        <v>0</v>
      </c>
      <c r="C25" s="382">
        <f>'Marketing &amp; Adv'!D30</f>
        <v>0</v>
      </c>
      <c r="D25" s="382">
        <f>'Marketing &amp; Adv'!E30</f>
        <v>0</v>
      </c>
      <c r="E25" s="382">
        <f>'Marketing &amp; Adv'!F30</f>
        <v>0</v>
      </c>
      <c r="F25" s="382">
        <f>'Marketing &amp; Adv'!G30</f>
        <v>0</v>
      </c>
      <c r="G25" s="382">
        <f>'Marketing &amp; Adv'!H30</f>
        <v>0</v>
      </c>
      <c r="H25" s="382">
        <f>'Marketing &amp; Adv'!I30</f>
        <v>0</v>
      </c>
      <c r="I25" s="382">
        <f>'Marketing &amp; Adv'!J30</f>
        <v>0</v>
      </c>
      <c r="J25" s="382">
        <f>'Marketing &amp; Adv'!K30</f>
        <v>0</v>
      </c>
      <c r="K25" s="382">
        <f>'Marketing &amp; Adv'!L30</f>
        <v>0</v>
      </c>
      <c r="L25" s="382">
        <f>'Marketing &amp; Adv'!M30</f>
        <v>0</v>
      </c>
      <c r="M25" s="921">
        <f>'Marketing &amp; Adv'!N30</f>
        <v>0</v>
      </c>
      <c r="N25" s="381">
        <f>'Marketing &amp; Adv'!O30</f>
        <v>0</v>
      </c>
      <c r="O25" s="382">
        <f>'Marketing &amp; Adv'!P30</f>
        <v>0</v>
      </c>
      <c r="P25" s="382">
        <f>'Marketing &amp; Adv'!Q30</f>
        <v>0</v>
      </c>
      <c r="Q25" s="382">
        <f>'Marketing &amp; Adv'!R30</f>
        <v>0</v>
      </c>
      <c r="R25" s="382">
        <f>'Marketing &amp; Adv'!S30</f>
        <v>0</v>
      </c>
      <c r="S25" s="382">
        <f>'Marketing &amp; Adv'!T30</f>
        <v>0</v>
      </c>
      <c r="T25" s="382">
        <f>'Marketing &amp; Adv'!U30</f>
        <v>0</v>
      </c>
      <c r="U25" s="382">
        <f>'Marketing &amp; Adv'!V30</f>
        <v>0</v>
      </c>
      <c r="V25" s="382">
        <f>'Marketing &amp; Adv'!W30</f>
        <v>0</v>
      </c>
      <c r="W25" s="382">
        <f>'Marketing &amp; Adv'!X30</f>
        <v>0</v>
      </c>
      <c r="X25" s="382">
        <f>'Marketing &amp; Adv'!Y30</f>
        <v>0</v>
      </c>
      <c r="Y25" s="382">
        <f>'Marketing &amp; Adv'!Z30</f>
        <v>0</v>
      </c>
      <c r="Z25" s="284"/>
      <c r="AA25" s="284"/>
      <c r="AB25" s="284"/>
    </row>
    <row r="26" spans="1:28" ht="12" customHeight="1">
      <c r="A26" s="1060" t="s">
        <v>60</v>
      </c>
      <c r="B26" s="381">
        <f>'Energy and Water'!G12</f>
        <v>36</v>
      </c>
      <c r="C26" s="382">
        <f>'Energy and Water'!H12</f>
        <v>36</v>
      </c>
      <c r="D26" s="382">
        <f>'Energy and Water'!I12</f>
        <v>36</v>
      </c>
      <c r="E26" s="382">
        <f>'Energy and Water'!J12</f>
        <v>36</v>
      </c>
      <c r="F26" s="382">
        <f>'Energy and Water'!K12</f>
        <v>36</v>
      </c>
      <c r="G26" s="382">
        <f>'Energy and Water'!L12</f>
        <v>36</v>
      </c>
      <c r="H26" s="382">
        <f>'Energy and Water'!M12</f>
        <v>36</v>
      </c>
      <c r="I26" s="382">
        <f>'Energy and Water'!N12</f>
        <v>36</v>
      </c>
      <c r="J26" s="382">
        <f>'Energy and Water'!O12</f>
        <v>36</v>
      </c>
      <c r="K26" s="382">
        <f>'Energy and Water'!P12</f>
        <v>0</v>
      </c>
      <c r="L26" s="382">
        <f>'Energy and Water'!Q12</f>
        <v>36</v>
      </c>
      <c r="M26" s="921">
        <f>'Energy and Water'!R12</f>
        <v>0</v>
      </c>
      <c r="N26" s="381">
        <f>'Energy and Water'!G12*(1+'Energy and Water'!$G$7)</f>
        <v>36</v>
      </c>
      <c r="O26" s="382">
        <f>'Energy and Water'!H12*(1+'Energy and Water'!$G$7)</f>
        <v>36</v>
      </c>
      <c r="P26" s="382">
        <f>'Energy and Water'!I12*(1+'Energy and Water'!$G$7)</f>
        <v>36</v>
      </c>
      <c r="Q26" s="382">
        <f>'Energy and Water'!J12*(1+'Energy and Water'!$G$7)</f>
        <v>36</v>
      </c>
      <c r="R26" s="382">
        <f>'Energy and Water'!K12*(1+'Energy and Water'!$G$7)</f>
        <v>36</v>
      </c>
      <c r="S26" s="382">
        <f>'Energy and Water'!L12*(1+'Energy and Water'!$G$7)</f>
        <v>36</v>
      </c>
      <c r="T26" s="382">
        <f>'Energy and Water'!M12*(1+'Energy and Water'!$G$7)</f>
        <v>36</v>
      </c>
      <c r="U26" s="382">
        <f>'Energy and Water'!N12*(1+'Energy and Water'!$G$7)</f>
        <v>36</v>
      </c>
      <c r="V26" s="382">
        <f>'Energy and Water'!O12*(1+'Energy and Water'!$G$7)</f>
        <v>36</v>
      </c>
      <c r="W26" s="382">
        <f>'Energy and Water'!P12*(1+'Energy and Water'!$G$7)</f>
        <v>0</v>
      </c>
      <c r="X26" s="382">
        <f>'Energy and Water'!Q12*(1+'Energy and Water'!$G$7)</f>
        <v>36</v>
      </c>
      <c r="Y26" s="382">
        <f>'Energy and Water'!R12*(1+'Energy and Water'!$G$7)</f>
        <v>0</v>
      </c>
      <c r="Z26" s="284"/>
      <c r="AA26" s="284"/>
      <c r="AB26" s="284"/>
    </row>
    <row r="27" spans="1:28" ht="12" customHeight="1">
      <c r="A27" s="1060" t="s">
        <v>62</v>
      </c>
      <c r="B27" s="381">
        <f>'Salaries and Training'!C41</f>
        <v>0</v>
      </c>
      <c r="C27" s="382">
        <f>'Salaries and Training'!D41</f>
        <v>0</v>
      </c>
      <c r="D27" s="382">
        <f>'Salaries and Training'!E41</f>
        <v>0</v>
      </c>
      <c r="E27" s="382">
        <f>'Salaries and Training'!F41</f>
        <v>0</v>
      </c>
      <c r="F27" s="382">
        <f>'Salaries and Training'!G41</f>
        <v>0</v>
      </c>
      <c r="G27" s="382">
        <f>'Salaries and Training'!H41</f>
        <v>0</v>
      </c>
      <c r="H27" s="382">
        <f>'Salaries and Training'!I41</f>
        <v>0</v>
      </c>
      <c r="I27" s="382">
        <f>'Salaries and Training'!J41</f>
        <v>0</v>
      </c>
      <c r="J27" s="382">
        <f>'Salaries and Training'!K41</f>
        <v>0</v>
      </c>
      <c r="K27" s="382">
        <f>'Salaries and Training'!L41</f>
        <v>0</v>
      </c>
      <c r="L27" s="382">
        <f>'Salaries and Training'!M41</f>
        <v>0</v>
      </c>
      <c r="M27" s="921">
        <f>'Salaries and Training'!N41</f>
        <v>0</v>
      </c>
      <c r="N27" s="381">
        <f>'Salaries and Training'!O41</f>
        <v>0</v>
      </c>
      <c r="O27" s="382">
        <f>'Salaries and Training'!P41</f>
        <v>0</v>
      </c>
      <c r="P27" s="382">
        <f>'Salaries and Training'!Q41</f>
        <v>0</v>
      </c>
      <c r="Q27" s="382">
        <f>'Salaries and Training'!R41</f>
        <v>0</v>
      </c>
      <c r="R27" s="382">
        <f>'Salaries and Training'!S41</f>
        <v>0</v>
      </c>
      <c r="S27" s="382">
        <f>'Salaries and Training'!T41</f>
        <v>0</v>
      </c>
      <c r="T27" s="382">
        <f>'Salaries and Training'!U41</f>
        <v>0</v>
      </c>
      <c r="U27" s="382">
        <f>'Salaries and Training'!V41</f>
        <v>0</v>
      </c>
      <c r="V27" s="382">
        <f>'Salaries and Training'!W41</f>
        <v>0</v>
      </c>
      <c r="W27" s="382">
        <f>'Salaries and Training'!X41</f>
        <v>0</v>
      </c>
      <c r="X27" s="382">
        <f>'Salaries and Training'!Y41</f>
        <v>0</v>
      </c>
      <c r="Y27" s="382">
        <f>'Salaries and Training'!Z41</f>
        <v>0</v>
      </c>
      <c r="Z27" s="284"/>
      <c r="AA27" s="284"/>
      <c r="AB27" s="284"/>
    </row>
    <row r="28" spans="1:28" ht="12" customHeight="1">
      <c r="A28" s="1060" t="s">
        <v>803</v>
      </c>
      <c r="B28" s="381">
        <f>'Salaries and Training'!C35</f>
        <v>3674.6666666666665</v>
      </c>
      <c r="C28" s="382">
        <f>'Salaries and Training'!D35</f>
        <v>3674.6666666666665</v>
      </c>
      <c r="D28" s="382">
        <f>'Salaries and Training'!E35</f>
        <v>3674.6666666666665</v>
      </c>
      <c r="E28" s="382">
        <f>'Salaries and Training'!F35</f>
        <v>3674.6666666666665</v>
      </c>
      <c r="F28" s="382">
        <f>'Salaries and Training'!G35</f>
        <v>3674.6666666666665</v>
      </c>
      <c r="G28" s="382">
        <f>'Salaries and Training'!H35</f>
        <v>3674.6666666666665</v>
      </c>
      <c r="H28" s="382">
        <f>'Salaries and Training'!I35</f>
        <v>3674.6666666666665</v>
      </c>
      <c r="I28" s="382">
        <f>'Salaries and Training'!J35</f>
        <v>3674.6666666666665</v>
      </c>
      <c r="J28" s="382">
        <f>'Salaries and Training'!K35</f>
        <v>3674.6666666666665</v>
      </c>
      <c r="K28" s="382">
        <f>'Salaries and Training'!L35</f>
        <v>3674.6666666666665</v>
      </c>
      <c r="L28" s="382">
        <f>'Salaries and Training'!M35</f>
        <v>3674.6666666666665</v>
      </c>
      <c r="M28" s="921">
        <f>'Salaries and Training'!N35</f>
        <v>3674.6666666666665</v>
      </c>
      <c r="N28" s="381">
        <f>'Salaries and Training'!O35</f>
        <v>3674.6666666666665</v>
      </c>
      <c r="O28" s="382">
        <f>'Salaries and Training'!P35</f>
        <v>3674.6666666666665</v>
      </c>
      <c r="P28" s="382">
        <f>'Salaries and Training'!Q35</f>
        <v>3674.6666666666665</v>
      </c>
      <c r="Q28" s="382">
        <f>'Salaries and Training'!R35</f>
        <v>3674.6666666666665</v>
      </c>
      <c r="R28" s="382">
        <f>'Salaries and Training'!S35</f>
        <v>3674.6666666666665</v>
      </c>
      <c r="S28" s="382">
        <f>'Salaries and Training'!T35</f>
        <v>3674.6666666666665</v>
      </c>
      <c r="T28" s="382">
        <f>'Salaries and Training'!U35</f>
        <v>3674.6666666666665</v>
      </c>
      <c r="U28" s="382">
        <f>'Salaries and Training'!V35</f>
        <v>3674.6666666666665</v>
      </c>
      <c r="V28" s="382">
        <f>'Salaries and Training'!W35</f>
        <v>3674.6666666666665</v>
      </c>
      <c r="W28" s="382">
        <f>'Salaries and Training'!X35</f>
        <v>3674.6666666666665</v>
      </c>
      <c r="X28" s="382">
        <f>'Salaries and Training'!Y35</f>
        <v>3674.6666666666665</v>
      </c>
      <c r="Y28" s="382">
        <f>'Salaries and Training'!Z35</f>
        <v>3674.6666666666665</v>
      </c>
      <c r="Z28" s="284"/>
      <c r="AA28" s="284"/>
      <c r="AB28" s="284"/>
    </row>
    <row r="29" spans="1:28" ht="12" customHeight="1">
      <c r="A29" s="1060" t="s">
        <v>64</v>
      </c>
      <c r="B29" s="381">
        <f>'Other Operating exp'!C20</f>
        <v>0</v>
      </c>
      <c r="C29" s="381">
        <f>'Other Operating exp'!D20</f>
        <v>0</v>
      </c>
      <c r="D29" s="381">
        <f>'Other Operating exp'!E20</f>
        <v>0</v>
      </c>
      <c r="E29" s="381">
        <f>'Other Operating exp'!F20</f>
        <v>0</v>
      </c>
      <c r="F29" s="381">
        <f>'Other Operating exp'!G20</f>
        <v>0</v>
      </c>
      <c r="G29" s="381">
        <f>'Other Operating exp'!H20</f>
        <v>0</v>
      </c>
      <c r="H29" s="381">
        <f>'Other Operating exp'!I20</f>
        <v>0</v>
      </c>
      <c r="I29" s="381">
        <f>'Other Operating exp'!J20</f>
        <v>0</v>
      </c>
      <c r="J29" s="381">
        <f>'Other Operating exp'!K20</f>
        <v>0</v>
      </c>
      <c r="K29" s="381">
        <f>'Other Operating exp'!L20</f>
        <v>0</v>
      </c>
      <c r="L29" s="381">
        <f>'Other Operating exp'!M20</f>
        <v>0</v>
      </c>
      <c r="M29" s="381">
        <f>'Other Operating exp'!N20</f>
        <v>0</v>
      </c>
      <c r="N29" s="381">
        <f>'Other Operating exp'!O20</f>
        <v>0</v>
      </c>
      <c r="O29" s="381">
        <f>'Other Operating exp'!P20</f>
        <v>0</v>
      </c>
      <c r="P29" s="381">
        <f>'Other Operating exp'!Q20</f>
        <v>0</v>
      </c>
      <c r="Q29" s="381">
        <f>'Other Operating exp'!R20</f>
        <v>0</v>
      </c>
      <c r="R29" s="381">
        <f>'Other Operating exp'!S20</f>
        <v>0</v>
      </c>
      <c r="S29" s="381">
        <f>'Other Operating exp'!T20</f>
        <v>0</v>
      </c>
      <c r="T29" s="381">
        <f>'Other Operating exp'!U20</f>
        <v>0</v>
      </c>
      <c r="U29" s="381">
        <f>'Other Operating exp'!V20</f>
        <v>0</v>
      </c>
      <c r="V29" s="381">
        <f>'Other Operating exp'!W20</f>
        <v>0</v>
      </c>
      <c r="W29" s="381">
        <f>'Other Operating exp'!X20</f>
        <v>0</v>
      </c>
      <c r="X29" s="381">
        <f>'Other Operating exp'!Y20</f>
        <v>0</v>
      </c>
      <c r="Y29" s="381">
        <f>'Other Operating exp'!Z20</f>
        <v>0</v>
      </c>
      <c r="Z29" s="284"/>
      <c r="AA29" s="284"/>
      <c r="AB29" s="284"/>
    </row>
    <row r="30" spans="1:28" ht="12" customHeight="1">
      <c r="A30" s="1060" t="s">
        <v>66</v>
      </c>
      <c r="B30" s="381">
        <f>'Other Operating exp'!C21</f>
        <v>0</v>
      </c>
      <c r="C30" s="382">
        <f>'Other Operating exp'!D21</f>
        <v>0</v>
      </c>
      <c r="D30" s="382">
        <f>'Other Operating exp'!E21</f>
        <v>0</v>
      </c>
      <c r="E30" s="382">
        <f>'Other Operating exp'!F21</f>
        <v>0</v>
      </c>
      <c r="F30" s="382">
        <f>'Other Operating exp'!G21</f>
        <v>0</v>
      </c>
      <c r="G30" s="382">
        <f>'Other Operating exp'!H21</f>
        <v>0</v>
      </c>
      <c r="H30" s="382">
        <f>'Other Operating exp'!I21</f>
        <v>0</v>
      </c>
      <c r="I30" s="382">
        <f>'Other Operating exp'!J21</f>
        <v>0</v>
      </c>
      <c r="J30" s="382">
        <f>'Other Operating exp'!K21</f>
        <v>0</v>
      </c>
      <c r="K30" s="382">
        <f>'Other Operating exp'!L21</f>
        <v>0</v>
      </c>
      <c r="L30" s="382">
        <f>'Other Operating exp'!M21</f>
        <v>0</v>
      </c>
      <c r="M30" s="921">
        <f>'Other Operating exp'!N21</f>
        <v>0</v>
      </c>
      <c r="N30" s="381">
        <f>'Other Operating exp'!O21</f>
        <v>0</v>
      </c>
      <c r="O30" s="382">
        <f>'Other Operating exp'!P21</f>
        <v>0</v>
      </c>
      <c r="P30" s="382">
        <f>'Other Operating exp'!Q21</f>
        <v>0</v>
      </c>
      <c r="Q30" s="382">
        <f>'Other Operating exp'!R21</f>
        <v>0</v>
      </c>
      <c r="R30" s="382">
        <f>'Other Operating exp'!S21</f>
        <v>0</v>
      </c>
      <c r="S30" s="382">
        <f>'Other Operating exp'!T21</f>
        <v>0</v>
      </c>
      <c r="T30" s="382">
        <f>'Other Operating exp'!U21</f>
        <v>0</v>
      </c>
      <c r="U30" s="382">
        <f>'Other Operating exp'!V21</f>
        <v>0</v>
      </c>
      <c r="V30" s="382">
        <f>'Other Operating exp'!W21</f>
        <v>0</v>
      </c>
      <c r="W30" s="382">
        <f>'Other Operating exp'!X21</f>
        <v>0</v>
      </c>
      <c r="X30" s="382">
        <f>'Other Operating exp'!Y21</f>
        <v>0</v>
      </c>
      <c r="Y30" s="382">
        <f>'Other Operating exp'!Z21</f>
        <v>0</v>
      </c>
      <c r="Z30" s="284"/>
      <c r="AA30" s="284"/>
      <c r="AB30" s="284"/>
    </row>
    <row r="31" spans="1:28" ht="12" customHeight="1">
      <c r="A31" s="1060" t="s">
        <v>68</v>
      </c>
      <c r="B31" s="381">
        <f>'Other Operating exp'!C22</f>
        <v>0</v>
      </c>
      <c r="C31" s="382">
        <f>'Other Operating exp'!D22</f>
        <v>0</v>
      </c>
      <c r="D31" s="382">
        <f>'Other Operating exp'!E22</f>
        <v>0</v>
      </c>
      <c r="E31" s="382">
        <f>'Other Operating exp'!F22</f>
        <v>0</v>
      </c>
      <c r="F31" s="382">
        <f>'Other Operating exp'!G22</f>
        <v>0</v>
      </c>
      <c r="G31" s="382">
        <f>'Other Operating exp'!H22</f>
        <v>0</v>
      </c>
      <c r="H31" s="382">
        <f>'Other Operating exp'!I22</f>
        <v>0</v>
      </c>
      <c r="I31" s="382">
        <f>'Other Operating exp'!J22</f>
        <v>0</v>
      </c>
      <c r="J31" s="382">
        <f>'Other Operating exp'!K22</f>
        <v>0</v>
      </c>
      <c r="K31" s="382">
        <f>'Other Operating exp'!L22</f>
        <v>0</v>
      </c>
      <c r="L31" s="382">
        <f>'Other Operating exp'!M22</f>
        <v>0</v>
      </c>
      <c r="M31" s="921">
        <f>'Other Operating exp'!N22</f>
        <v>0</v>
      </c>
      <c r="N31" s="381">
        <f>'Other Operating exp'!O22</f>
        <v>0</v>
      </c>
      <c r="O31" s="382">
        <f>'Other Operating exp'!P22</f>
        <v>0</v>
      </c>
      <c r="P31" s="382">
        <f>'Other Operating exp'!Q22</f>
        <v>0</v>
      </c>
      <c r="Q31" s="382">
        <f>'Other Operating exp'!R22</f>
        <v>0</v>
      </c>
      <c r="R31" s="382">
        <f>'Other Operating exp'!S22</f>
        <v>0</v>
      </c>
      <c r="S31" s="382">
        <f>'Other Operating exp'!T22</f>
        <v>0</v>
      </c>
      <c r="T31" s="382">
        <f>'Other Operating exp'!U22</f>
        <v>0</v>
      </c>
      <c r="U31" s="382">
        <f>'Other Operating exp'!V22</f>
        <v>0</v>
      </c>
      <c r="V31" s="382">
        <f>'Other Operating exp'!W22</f>
        <v>0</v>
      </c>
      <c r="W31" s="382">
        <f>'Other Operating exp'!X22</f>
        <v>0</v>
      </c>
      <c r="X31" s="382">
        <f>'Other Operating exp'!Y22</f>
        <v>0</v>
      </c>
      <c r="Y31" s="382">
        <f>'Other Operating exp'!Z22</f>
        <v>0</v>
      </c>
      <c r="Z31" s="284"/>
      <c r="AA31" s="284"/>
      <c r="AB31" s="284"/>
    </row>
    <row r="32" spans="1:28" ht="12" customHeight="1">
      <c r="A32" s="1060" t="s">
        <v>805</v>
      </c>
      <c r="B32" s="381">
        <f>'Other Operating exp'!C23</f>
        <v>0</v>
      </c>
      <c r="C32" s="382">
        <f>'Other Operating exp'!D23</f>
        <v>0</v>
      </c>
      <c r="D32" s="382">
        <f>'Other Operating exp'!E23</f>
        <v>0</v>
      </c>
      <c r="E32" s="382">
        <f>'Other Operating exp'!F23</f>
        <v>0</v>
      </c>
      <c r="F32" s="382">
        <f>'Other Operating exp'!G23</f>
        <v>0</v>
      </c>
      <c r="G32" s="382">
        <f>'Other Operating exp'!H23</f>
        <v>0</v>
      </c>
      <c r="H32" s="382">
        <f>'Other Operating exp'!I23</f>
        <v>0</v>
      </c>
      <c r="I32" s="382">
        <f>'Other Operating exp'!J23</f>
        <v>0</v>
      </c>
      <c r="J32" s="382">
        <f>'Other Operating exp'!K23</f>
        <v>0</v>
      </c>
      <c r="K32" s="382">
        <f>'Other Operating exp'!L23</f>
        <v>0</v>
      </c>
      <c r="L32" s="382">
        <f>'Other Operating exp'!M23</f>
        <v>0</v>
      </c>
      <c r="M32" s="921">
        <f>'Other Operating exp'!N23</f>
        <v>0</v>
      </c>
      <c r="N32" s="381">
        <f>'Other Operating exp'!O23</f>
        <v>0</v>
      </c>
      <c r="O32" s="382">
        <f>'Other Operating exp'!P23</f>
        <v>0</v>
      </c>
      <c r="P32" s="382">
        <f>'Other Operating exp'!Q23</f>
        <v>0</v>
      </c>
      <c r="Q32" s="382">
        <f>'Other Operating exp'!R23</f>
        <v>0</v>
      </c>
      <c r="R32" s="382">
        <f>'Other Operating exp'!S23</f>
        <v>0</v>
      </c>
      <c r="S32" s="382">
        <f>'Other Operating exp'!T23</f>
        <v>0</v>
      </c>
      <c r="T32" s="382">
        <f>'Other Operating exp'!U23</f>
        <v>0</v>
      </c>
      <c r="U32" s="382">
        <f>'Other Operating exp'!V23</f>
        <v>0</v>
      </c>
      <c r="V32" s="382">
        <f>'Other Operating exp'!W23</f>
        <v>0</v>
      </c>
      <c r="W32" s="382">
        <f>'Other Operating exp'!X23</f>
        <v>0</v>
      </c>
      <c r="X32" s="382">
        <f>'Other Operating exp'!Y23</f>
        <v>0</v>
      </c>
      <c r="Y32" s="382">
        <f>'Other Operating exp'!Z23</f>
        <v>0</v>
      </c>
      <c r="Z32" s="284"/>
      <c r="AA32" s="284"/>
      <c r="AB32" s="284"/>
    </row>
    <row r="33" spans="1:28" ht="12" customHeight="1">
      <c r="A33" s="1060" t="s">
        <v>70</v>
      </c>
      <c r="B33" s="381">
        <f>'Other Operating exp'!C24</f>
        <v>0</v>
      </c>
      <c r="C33" s="382">
        <f>'Other Operating exp'!D24</f>
        <v>0</v>
      </c>
      <c r="D33" s="382">
        <f>'Other Operating exp'!E24</f>
        <v>0</v>
      </c>
      <c r="E33" s="382">
        <f>'Other Operating exp'!F24</f>
        <v>0</v>
      </c>
      <c r="F33" s="382">
        <f>'Other Operating exp'!G24</f>
        <v>0</v>
      </c>
      <c r="G33" s="382">
        <f>'Other Operating exp'!H24</f>
        <v>0</v>
      </c>
      <c r="H33" s="382">
        <f>'Other Operating exp'!I24</f>
        <v>0</v>
      </c>
      <c r="I33" s="382">
        <f>'Other Operating exp'!J24</f>
        <v>0</v>
      </c>
      <c r="J33" s="382">
        <f>'Other Operating exp'!K24</f>
        <v>0</v>
      </c>
      <c r="K33" s="382">
        <f>'Other Operating exp'!L24</f>
        <v>0</v>
      </c>
      <c r="L33" s="382">
        <f>'Other Operating exp'!M24</f>
        <v>0</v>
      </c>
      <c r="M33" s="921">
        <f>'Other Operating exp'!N24</f>
        <v>0</v>
      </c>
      <c r="N33" s="381">
        <f>'Other Operating exp'!O24</f>
        <v>0</v>
      </c>
      <c r="O33" s="382">
        <f>'Other Operating exp'!P24</f>
        <v>0</v>
      </c>
      <c r="P33" s="382">
        <f>'Other Operating exp'!Q24</f>
        <v>0</v>
      </c>
      <c r="Q33" s="382">
        <f>'Other Operating exp'!R24</f>
        <v>0</v>
      </c>
      <c r="R33" s="382">
        <f>'Other Operating exp'!S24</f>
        <v>0</v>
      </c>
      <c r="S33" s="382">
        <f>'Other Operating exp'!T24</f>
        <v>0</v>
      </c>
      <c r="T33" s="382">
        <f>'Other Operating exp'!U24</f>
        <v>0</v>
      </c>
      <c r="U33" s="382">
        <f>'Other Operating exp'!V24</f>
        <v>0</v>
      </c>
      <c r="V33" s="382">
        <f>'Other Operating exp'!W24</f>
        <v>0</v>
      </c>
      <c r="W33" s="382">
        <f>'Other Operating exp'!X24</f>
        <v>0</v>
      </c>
      <c r="X33" s="382">
        <f>'Other Operating exp'!Y24</f>
        <v>0</v>
      </c>
      <c r="Y33" s="382">
        <f>'Other Operating exp'!Z24</f>
        <v>0</v>
      </c>
      <c r="Z33" s="284"/>
      <c r="AA33" s="284"/>
      <c r="AB33" s="284"/>
    </row>
    <row r="34" spans="1:28" ht="12" customHeight="1">
      <c r="A34" s="1060" t="s">
        <v>72</v>
      </c>
      <c r="B34" s="381">
        <f>'Other Operating exp'!C29</f>
        <v>0</v>
      </c>
      <c r="C34" s="381">
        <f>'Other Operating exp'!D29</f>
        <v>0</v>
      </c>
      <c r="D34" s="381">
        <f>'Other Operating exp'!E29</f>
        <v>0</v>
      </c>
      <c r="E34" s="381">
        <f>'Other Operating exp'!F29</f>
        <v>0</v>
      </c>
      <c r="F34" s="381">
        <f>'Other Operating exp'!G29</f>
        <v>0</v>
      </c>
      <c r="G34" s="381">
        <f>'Other Operating exp'!H29</f>
        <v>0</v>
      </c>
      <c r="H34" s="381">
        <f>'Other Operating exp'!I29</f>
        <v>0</v>
      </c>
      <c r="I34" s="381">
        <f>'Other Operating exp'!J29</f>
        <v>0</v>
      </c>
      <c r="J34" s="381">
        <f>'Other Operating exp'!K29</f>
        <v>0</v>
      </c>
      <c r="K34" s="381">
        <f>'Other Operating exp'!L29</f>
        <v>0</v>
      </c>
      <c r="L34" s="381">
        <f>'Other Operating exp'!M29</f>
        <v>0</v>
      </c>
      <c r="M34" s="381">
        <f>'Other Operating exp'!N29</f>
        <v>0</v>
      </c>
      <c r="N34" s="381">
        <f>'Other Operating exp'!O29</f>
        <v>0</v>
      </c>
      <c r="O34" s="381">
        <f>'Other Operating exp'!P29</f>
        <v>0</v>
      </c>
      <c r="P34" s="381">
        <f>'Other Operating exp'!Q29</f>
        <v>0</v>
      </c>
      <c r="Q34" s="381">
        <f>'Other Operating exp'!R29</f>
        <v>0</v>
      </c>
      <c r="R34" s="381">
        <f>'Other Operating exp'!S29</f>
        <v>0</v>
      </c>
      <c r="S34" s="381">
        <f>'Other Operating exp'!T29</f>
        <v>0</v>
      </c>
      <c r="T34" s="381">
        <f>'Other Operating exp'!U29</f>
        <v>0</v>
      </c>
      <c r="U34" s="381">
        <f>'Other Operating exp'!V29</f>
        <v>0</v>
      </c>
      <c r="V34" s="381">
        <f>'Other Operating exp'!W29</f>
        <v>0</v>
      </c>
      <c r="W34" s="381">
        <f>'Other Operating exp'!X29</f>
        <v>0</v>
      </c>
      <c r="X34" s="381">
        <f>'Other Operating exp'!Y29</f>
        <v>0</v>
      </c>
      <c r="Y34" s="381">
        <f>'Other Operating exp'!Z29</f>
        <v>0</v>
      </c>
      <c r="Z34" s="284"/>
      <c r="AA34" s="284"/>
      <c r="AB34" s="284"/>
    </row>
    <row r="35" spans="1:28" ht="12" customHeight="1">
      <c r="A35" s="1060" t="s">
        <v>73</v>
      </c>
      <c r="B35" s="381" t="str">
        <f>'Other Operating exp'!C30</f>
        <v/>
      </c>
      <c r="C35" s="382" t="str">
        <f>'Other Operating exp'!D30</f>
        <v/>
      </c>
      <c r="D35" s="382" t="str">
        <f>'Other Operating exp'!E30</f>
        <v/>
      </c>
      <c r="E35" s="382" t="str">
        <f>'Other Operating exp'!F30</f>
        <v/>
      </c>
      <c r="F35" s="382" t="str">
        <f>'Other Operating exp'!G30</f>
        <v/>
      </c>
      <c r="G35" s="382" t="str">
        <f>'Other Operating exp'!H30</f>
        <v/>
      </c>
      <c r="H35" s="382" t="str">
        <f>'Other Operating exp'!I30</f>
        <v/>
      </c>
      <c r="I35" s="382" t="str">
        <f>'Other Operating exp'!J30</f>
        <v/>
      </c>
      <c r="J35" s="382" t="str">
        <f>'Other Operating exp'!K30</f>
        <v/>
      </c>
      <c r="K35" s="382" t="str">
        <f>'Other Operating exp'!L30</f>
        <v/>
      </c>
      <c r="L35" s="382" t="str">
        <f>'Other Operating exp'!M30</f>
        <v/>
      </c>
      <c r="M35" s="921" t="str">
        <f>'Other Operating exp'!N30</f>
        <v/>
      </c>
      <c r="N35" s="381" t="str">
        <f>'Other Operating exp'!O30</f>
        <v/>
      </c>
      <c r="O35" s="382" t="str">
        <f>'Other Operating exp'!P30</f>
        <v/>
      </c>
      <c r="P35" s="382" t="str">
        <f>'Other Operating exp'!Q30</f>
        <v/>
      </c>
      <c r="Q35" s="382" t="str">
        <f>'Other Operating exp'!R30</f>
        <v/>
      </c>
      <c r="R35" s="382" t="str">
        <f>'Other Operating exp'!S30</f>
        <v/>
      </c>
      <c r="S35" s="382" t="str">
        <f>'Other Operating exp'!T30</f>
        <v/>
      </c>
      <c r="T35" s="382" t="str">
        <f>'Other Operating exp'!U30</f>
        <v/>
      </c>
      <c r="U35" s="382" t="str">
        <f>'Other Operating exp'!V30</f>
        <v/>
      </c>
      <c r="V35" s="382" t="str">
        <f>'Other Operating exp'!W30</f>
        <v/>
      </c>
      <c r="W35" s="382" t="str">
        <f>'Other Operating exp'!X30</f>
        <v/>
      </c>
      <c r="X35" s="382" t="str">
        <f>'Other Operating exp'!Y30</f>
        <v/>
      </c>
      <c r="Y35" s="382" t="str">
        <f>'Other Operating exp'!Z30</f>
        <v/>
      </c>
      <c r="Z35" s="284"/>
      <c r="AA35" s="284"/>
      <c r="AB35" s="284"/>
    </row>
    <row r="36" spans="1:28" ht="12" customHeight="1">
      <c r="A36" s="1175" t="s">
        <v>74</v>
      </c>
      <c r="B36" s="1168">
        <f t="shared" ref="B36:M36" si="9">SUM(B20:B35)</f>
        <v>3710.6666666666665</v>
      </c>
      <c r="C36" s="1169">
        <f t="shared" si="9"/>
        <v>3710.6666666666665</v>
      </c>
      <c r="D36" s="1169">
        <f t="shared" si="9"/>
        <v>3710.6666666666665</v>
      </c>
      <c r="E36" s="1169">
        <f t="shared" si="9"/>
        <v>3710.6666666666665</v>
      </c>
      <c r="F36" s="1169">
        <f t="shared" si="9"/>
        <v>3710.6666666666665</v>
      </c>
      <c r="G36" s="1169">
        <f t="shared" si="9"/>
        <v>3710.6666666666665</v>
      </c>
      <c r="H36" s="1169">
        <f t="shared" si="9"/>
        <v>3710.6666666666665</v>
      </c>
      <c r="I36" s="1169">
        <f t="shared" si="9"/>
        <v>3710.6666666666665</v>
      </c>
      <c r="J36" s="1169">
        <f t="shared" si="9"/>
        <v>3710.6666666666665</v>
      </c>
      <c r="K36" s="1169">
        <f t="shared" si="9"/>
        <v>3674.6666666666665</v>
      </c>
      <c r="L36" s="1169">
        <f t="shared" si="9"/>
        <v>3710.6666666666665</v>
      </c>
      <c r="M36" s="1170">
        <f t="shared" si="9"/>
        <v>3674.6666666666665</v>
      </c>
      <c r="N36" s="1168">
        <f t="shared" ref="N36:Y36" si="10">SUM(N20:N35)</f>
        <v>3710.6666666666665</v>
      </c>
      <c r="O36" s="1169">
        <f t="shared" si="10"/>
        <v>3710.6666666666665</v>
      </c>
      <c r="P36" s="1169">
        <f t="shared" si="10"/>
        <v>3710.6666666666665</v>
      </c>
      <c r="Q36" s="1169">
        <f t="shared" si="10"/>
        <v>3710.6666666666665</v>
      </c>
      <c r="R36" s="1169">
        <f t="shared" si="10"/>
        <v>3710.6666666666665</v>
      </c>
      <c r="S36" s="1169">
        <f t="shared" si="10"/>
        <v>3710.6666666666665</v>
      </c>
      <c r="T36" s="1169">
        <f t="shared" si="10"/>
        <v>3710.6666666666665</v>
      </c>
      <c r="U36" s="1169">
        <f t="shared" si="10"/>
        <v>3710.6666666666665</v>
      </c>
      <c r="V36" s="1169">
        <f t="shared" si="10"/>
        <v>3710.6666666666665</v>
      </c>
      <c r="W36" s="1169">
        <f t="shared" si="10"/>
        <v>3674.6666666666665</v>
      </c>
      <c r="X36" s="1169">
        <f t="shared" si="10"/>
        <v>3710.6666666666665</v>
      </c>
      <c r="Y36" s="1169">
        <f t="shared" si="10"/>
        <v>3674.6666666666665</v>
      </c>
      <c r="Z36" s="284"/>
      <c r="AA36" s="284"/>
      <c r="AB36" s="284"/>
    </row>
    <row r="37" spans="1:28" ht="12" customHeight="1">
      <c r="A37" s="1171" t="s">
        <v>90</v>
      </c>
      <c r="B37" s="1172">
        <f t="shared" ref="B37:M37" si="11">B17-B36</f>
        <v>-3695.6</v>
      </c>
      <c r="C37" s="1173">
        <f t="shared" si="11"/>
        <v>-3670.6</v>
      </c>
      <c r="D37" s="1173">
        <f t="shared" si="11"/>
        <v>-3536.25</v>
      </c>
      <c r="E37" s="1173">
        <f t="shared" si="11"/>
        <v>-3276.8999999999996</v>
      </c>
      <c r="F37" s="1173">
        <f t="shared" si="11"/>
        <v>-3685.6666666666665</v>
      </c>
      <c r="G37" s="1173">
        <f t="shared" si="11"/>
        <v>-3710.6666666666665</v>
      </c>
      <c r="H37" s="1173">
        <f t="shared" si="11"/>
        <v>-3710.6666666666665</v>
      </c>
      <c r="I37" s="1173">
        <f t="shared" si="11"/>
        <v>-3685.6666666666665</v>
      </c>
      <c r="J37" s="1173">
        <f t="shared" si="11"/>
        <v>-3710.6666666666665</v>
      </c>
      <c r="K37" s="1173">
        <f t="shared" si="11"/>
        <v>-3674.6666666666665</v>
      </c>
      <c r="L37" s="1173">
        <f t="shared" si="11"/>
        <v>-1720.7999999999993</v>
      </c>
      <c r="M37" s="1174">
        <f t="shared" si="11"/>
        <v>-1425.4499999999994</v>
      </c>
      <c r="N37" s="1172">
        <f t="shared" ref="N37:Y37" si="12">N17-N36</f>
        <v>-1202.0999999999995</v>
      </c>
      <c r="O37" s="1173">
        <f t="shared" si="12"/>
        <v>-1202.0999999999995</v>
      </c>
      <c r="P37" s="1173">
        <f t="shared" si="12"/>
        <v>-1202.0999999999995</v>
      </c>
      <c r="Q37" s="1173">
        <f t="shared" si="12"/>
        <v>-1202.0999999999995</v>
      </c>
      <c r="R37" s="1173">
        <f t="shared" si="12"/>
        <v>-3710.6666666666665</v>
      </c>
      <c r="S37" s="1173">
        <f t="shared" si="12"/>
        <v>-3710.6666666666665</v>
      </c>
      <c r="T37" s="1173">
        <f t="shared" si="12"/>
        <v>-3710.6666666666665</v>
      </c>
      <c r="U37" s="1173">
        <f t="shared" si="12"/>
        <v>-3710.6666666666665</v>
      </c>
      <c r="V37" s="1173">
        <f t="shared" si="12"/>
        <v>-3710.6666666666665</v>
      </c>
      <c r="W37" s="1173">
        <f t="shared" si="12"/>
        <v>-3674.6666666666665</v>
      </c>
      <c r="X37" s="1173">
        <f t="shared" si="12"/>
        <v>-1202.0999999999995</v>
      </c>
      <c r="Y37" s="1173">
        <f t="shared" si="12"/>
        <v>-1166.0999999999995</v>
      </c>
      <c r="Z37" s="288"/>
      <c r="AA37" s="288"/>
      <c r="AB37" s="288"/>
    </row>
    <row r="38" spans="1:28" ht="12" customHeight="1">
      <c r="A38" s="223"/>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row>
    <row r="39" spans="1:28" ht="12" customHeight="1">
      <c r="A39" s="220"/>
      <c r="B39" s="387"/>
      <c r="C39" s="387"/>
      <c r="D39" s="387"/>
      <c r="E39" s="387"/>
      <c r="F39" s="387"/>
      <c r="G39" s="387"/>
      <c r="H39" s="387"/>
      <c r="I39" s="387"/>
      <c r="J39" s="387"/>
      <c r="K39" s="387"/>
      <c r="L39" s="387"/>
      <c r="M39" s="390"/>
    </row>
    <row r="40" spans="1:28" ht="12" customHeight="1">
      <c r="A40" s="220"/>
      <c r="H40" s="390"/>
    </row>
    <row r="41" spans="1:28" ht="12" customHeight="1"/>
    <row r="42" spans="1:28" ht="12" customHeight="1"/>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sheetData>
  <sheetProtection algorithmName="SHA-512" hashValue="CgSSrICA92wWu29fSmkCKl+HzCvwyvicTuWIpE1LwOva9XC5onij2UQhYZEgbPLggUk4dv6JIkjtyXmyhYJd0g==" saltValue="wZS8SElrl3ip3CqBzE7Y/g==" spinCount="100000" sheet="1" objects="1" scenarios="1"/>
  <pageMargins left="0.75" right="0.75" top="1" bottom="1" header="0" footer="0"/>
  <pageSetup orientation="portrait"/>
  <colBreaks count="1" manualBreakCount="1">
    <brk id="13"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249977111117893"/>
    <outlinePr summaryBelow="0" summaryRight="0"/>
    <pageSetUpPr fitToPage="1"/>
  </sheetPr>
  <dimension ref="A1:AB1149"/>
  <sheetViews>
    <sheetView showGridLines="0" workbookViewId="0">
      <selection activeCell="E13" sqref="E13"/>
    </sheetView>
  </sheetViews>
  <sheetFormatPr defaultColWidth="17.27734375" defaultRowHeight="15" customHeight="1"/>
  <cols>
    <col min="1" max="1" width="4" customWidth="1"/>
    <col min="2" max="2" width="5.109375" customWidth="1"/>
    <col min="3" max="3" width="38" style="279" customWidth="1"/>
    <col min="4" max="4" width="57.83203125" style="279" customWidth="1"/>
    <col min="5" max="5" width="15.0546875" style="279" customWidth="1"/>
    <col min="6" max="6" width="12.6640625" style="279" customWidth="1"/>
    <col min="7" max="7" width="14.6640625" style="279" customWidth="1"/>
    <col min="8" max="8" width="3.77734375" style="279" customWidth="1"/>
    <col min="9" max="9" width="16.44140625" style="279" customWidth="1"/>
    <col min="10" max="10" width="10.0546875" customWidth="1"/>
    <col min="11" max="11" width="10.44140625" customWidth="1"/>
    <col min="12" max="12" width="8.609375" customWidth="1"/>
    <col min="13" max="13" width="6.27734375" customWidth="1"/>
    <col min="14" max="14" width="6.83203125" customWidth="1"/>
    <col min="15" max="24" width="8.609375" customWidth="1"/>
  </cols>
  <sheetData>
    <row r="1" spans="1:28" ht="17.7">
      <c r="A1" s="26"/>
      <c r="B1" s="26"/>
      <c r="C1" s="590"/>
      <c r="D1" s="591"/>
      <c r="E1" s="592"/>
    </row>
    <row r="2" spans="1:28" ht="17.7">
      <c r="A2" s="26"/>
      <c r="B2" s="26"/>
      <c r="C2" s="590" t="s">
        <v>128</v>
      </c>
      <c r="D2" s="591"/>
      <c r="E2" s="592"/>
    </row>
    <row r="3" spans="1:28" ht="12.3">
      <c r="A3" s="27"/>
      <c r="B3" s="27"/>
      <c r="C3" s="293"/>
      <c r="D3" s="593"/>
      <c r="E3" s="594"/>
      <c r="F3" s="595"/>
      <c r="G3" s="595"/>
      <c r="H3" s="294"/>
      <c r="I3" s="294"/>
      <c r="J3" s="3"/>
      <c r="K3" s="3"/>
      <c r="L3" s="3"/>
      <c r="M3" s="3"/>
      <c r="N3" s="3"/>
      <c r="O3" s="3"/>
      <c r="P3" s="3"/>
      <c r="Q3" s="3"/>
      <c r="R3" s="3"/>
      <c r="S3" s="3"/>
      <c r="T3" s="3"/>
      <c r="U3" s="3"/>
      <c r="V3" s="3"/>
      <c r="W3" s="3"/>
      <c r="X3" s="3"/>
      <c r="Y3" s="3"/>
      <c r="Z3" s="3"/>
      <c r="AA3" s="3"/>
      <c r="AB3" s="3"/>
    </row>
    <row r="4" spans="1:28" ht="12.3" customHeight="1">
      <c r="A4" s="27"/>
      <c r="B4" s="27"/>
      <c r="C4" s="1474" t="s">
        <v>863</v>
      </c>
      <c r="E4" s="1429" t="s">
        <v>953</v>
      </c>
      <c r="F4" s="1210">
        <v>5000</v>
      </c>
      <c r="G4" s="1381" t="str">
        <f>IF('Please Read First'!$C$11="Metric","m2", "ft2")</f>
        <v>ft2</v>
      </c>
      <c r="J4" s="1201"/>
      <c r="K4" s="1201"/>
      <c r="L4" s="1201"/>
    </row>
    <row r="5" spans="1:28" ht="17.399999999999999">
      <c r="A5" s="28"/>
      <c r="B5" s="28"/>
      <c r="C5" s="1474"/>
      <c r="D5" s="1192" t="s">
        <v>964</v>
      </c>
      <c r="E5" s="1120">
        <f>E10+E26+E40+E53+E73+E87</f>
        <v>50000</v>
      </c>
      <c r="F5" s="1211">
        <f>IFERROR(E5/F4, 0)</f>
        <v>10</v>
      </c>
      <c r="G5" s="1381" t="str">
        <f>IF('Please Read First'!$C$11="Metric","per m2", "per ft2")</f>
        <v>per ft2</v>
      </c>
      <c r="I5" s="1194" t="s">
        <v>61</v>
      </c>
      <c r="J5" s="1201"/>
      <c r="K5" s="1201"/>
      <c r="L5" s="1201"/>
    </row>
    <row r="6" spans="1:28" ht="12.3">
      <c r="A6" s="28"/>
      <c r="B6" s="28"/>
      <c r="C6" s="1474"/>
      <c r="D6" s="1222" t="s">
        <v>864</v>
      </c>
      <c r="E6" s="1211">
        <f>E5*F6</f>
        <v>0</v>
      </c>
      <c r="F6" s="1212"/>
      <c r="G6" s="1207"/>
      <c r="I6" s="1129" t="s">
        <v>67</v>
      </c>
      <c r="J6" s="1202"/>
      <c r="K6" s="1201"/>
      <c r="L6" s="1201"/>
    </row>
    <row r="7" spans="1:28" ht="12.3">
      <c r="A7" s="28"/>
      <c r="B7" s="28"/>
      <c r="C7" s="1474"/>
      <c r="D7" s="1208" t="s">
        <v>963</v>
      </c>
      <c r="E7" s="1211">
        <f>SUM(E5:E6)</f>
        <v>50000</v>
      </c>
      <c r="F7" s="1211">
        <f>IFERROR(E7/F4, 0)</f>
        <v>10</v>
      </c>
      <c r="G7" s="1381" t="str">
        <f>IF('Please Read First'!$C$11="Metric","per m2", "per ft2")</f>
        <v>per ft2</v>
      </c>
      <c r="I7" s="1129" t="s">
        <v>71</v>
      </c>
      <c r="J7" s="1203"/>
    </row>
    <row r="8" spans="1:28" s="914" customFormat="1" ht="13.2" customHeight="1">
      <c r="A8" s="28"/>
      <c r="B8" s="28"/>
      <c r="C8" s="1474"/>
      <c r="D8" s="1209" t="s">
        <v>860</v>
      </c>
      <c r="E8" s="1323"/>
      <c r="F8" s="1211"/>
      <c r="G8" s="1000"/>
      <c r="I8" s="1129" t="s">
        <v>75</v>
      </c>
      <c r="J8" s="1204"/>
    </row>
    <row r="9" spans="1:28" ht="24.6">
      <c r="A9" s="28"/>
      <c r="B9" s="28"/>
      <c r="C9" s="595"/>
      <c r="D9" s="596"/>
      <c r="E9" s="1198" t="s">
        <v>129</v>
      </c>
      <c r="F9" s="1199" t="s">
        <v>130</v>
      </c>
      <c r="G9" s="1200" t="s">
        <v>743</v>
      </c>
      <c r="I9" s="1205" t="s">
        <v>76</v>
      </c>
      <c r="J9" s="1206" t="str">
        <f>IFERROR(-PMT(J7,J8,J6)/12,"")</f>
        <v/>
      </c>
    </row>
    <row r="10" spans="1:28" ht="12" customHeight="1">
      <c r="A10" s="29"/>
      <c r="B10" s="29"/>
      <c r="C10" s="597" t="s">
        <v>865</v>
      </c>
      <c r="D10" s="598" t="s">
        <v>132</v>
      </c>
      <c r="E10" s="1195">
        <f>SUM(E11:E24)</f>
        <v>50000</v>
      </c>
      <c r="F10" s="1196">
        <f>IFERROR(E10/$F$4, 0)</f>
        <v>10</v>
      </c>
      <c r="G10" s="1197" t="s">
        <v>752</v>
      </c>
    </row>
    <row r="11" spans="1:28" ht="12" customHeight="1">
      <c r="A11" s="30"/>
      <c r="B11" s="30"/>
      <c r="C11" s="1213" t="s">
        <v>133</v>
      </c>
      <c r="D11" s="1214" t="s">
        <v>736</v>
      </c>
      <c r="E11" s="601">
        <v>50000</v>
      </c>
      <c r="F11" s="602">
        <f>IF(E11="TBD", 0, IF($F$4=0, "", E11/$F$4))</f>
        <v>10</v>
      </c>
      <c r="G11" s="603" t="s">
        <v>737</v>
      </c>
    </row>
    <row r="12" spans="1:28" ht="20.399999999999999">
      <c r="A12" s="30"/>
      <c r="B12" s="30"/>
      <c r="C12" s="1213" t="s">
        <v>146</v>
      </c>
      <c r="D12" s="1214" t="s">
        <v>147</v>
      </c>
      <c r="E12" s="601"/>
      <c r="F12" s="602">
        <f t="shared" ref="F12:F24" si="0">IF(E12="TBD", 0, IF($F$4=0, "", E12/$F$4))</f>
        <v>0</v>
      </c>
      <c r="G12" s="603"/>
      <c r="I12" s="1194" t="s">
        <v>861</v>
      </c>
    </row>
    <row r="13" spans="1:28" ht="12" customHeight="1">
      <c r="A13" s="30"/>
      <c r="B13" s="30"/>
      <c r="C13" s="1223" t="s">
        <v>866</v>
      </c>
      <c r="D13" s="1214"/>
      <c r="E13" s="601"/>
      <c r="F13" s="602">
        <f t="shared" si="0"/>
        <v>0</v>
      </c>
      <c r="G13" s="603"/>
      <c r="I13" s="1145" t="s">
        <v>741</v>
      </c>
      <c r="J13" s="1146" t="s">
        <v>751</v>
      </c>
      <c r="K13" s="1146" t="s">
        <v>742</v>
      </c>
      <c r="L13" s="1146" t="s">
        <v>862</v>
      </c>
      <c r="M13" s="1146" t="s">
        <v>732</v>
      </c>
      <c r="N13" s="1146" t="s">
        <v>733</v>
      </c>
      <c r="O13" s="1147" t="s">
        <v>31</v>
      </c>
      <c r="P13" s="1146" t="s">
        <v>21</v>
      </c>
      <c r="Q13" s="1146" t="s">
        <v>32</v>
      </c>
      <c r="R13" s="1146" t="s">
        <v>33</v>
      </c>
      <c r="S13" s="1146" t="s">
        <v>840</v>
      </c>
      <c r="T13" s="1146" t="s">
        <v>841</v>
      </c>
      <c r="U13" s="1146" t="s">
        <v>842</v>
      </c>
      <c r="V13" s="1146" t="s">
        <v>843</v>
      </c>
      <c r="W13" s="1146" t="s">
        <v>844</v>
      </c>
      <c r="X13" s="1146" t="s">
        <v>845</v>
      </c>
    </row>
    <row r="14" spans="1:28" ht="20.399999999999999">
      <c r="A14" s="32"/>
      <c r="B14" s="32"/>
      <c r="C14" s="1213" t="s">
        <v>136</v>
      </c>
      <c r="D14" s="1214" t="s">
        <v>137</v>
      </c>
      <c r="E14" s="601"/>
      <c r="F14" s="602">
        <f t="shared" si="0"/>
        <v>0</v>
      </c>
      <c r="G14" s="603"/>
      <c r="H14" s="397"/>
      <c r="I14" s="305" t="s">
        <v>737</v>
      </c>
      <c r="J14" s="1193">
        <f>SUMIF('Startup Costs'!$G$11:$G$543, 'Startup Costs'!I14, 'Startup Costs'!$E$11:$E$543)</f>
        <v>50000</v>
      </c>
      <c r="K14" s="309">
        <v>0.1</v>
      </c>
      <c r="L14" s="307">
        <f>K14*J14</f>
        <v>5000</v>
      </c>
      <c r="M14" s="310">
        <v>20</v>
      </c>
      <c r="N14" s="306" t="s">
        <v>734</v>
      </c>
      <c r="O14" s="307">
        <f t="shared" ref="O14:X18" si="1">($J14-$L14)/$M14</f>
        <v>2250</v>
      </c>
      <c r="P14" s="307">
        <f t="shared" si="1"/>
        <v>2250</v>
      </c>
      <c r="Q14" s="307">
        <f t="shared" si="1"/>
        <v>2250</v>
      </c>
      <c r="R14" s="307">
        <f t="shared" si="1"/>
        <v>2250</v>
      </c>
      <c r="S14" s="307">
        <f t="shared" si="1"/>
        <v>2250</v>
      </c>
      <c r="T14" s="307">
        <f t="shared" si="1"/>
        <v>2250</v>
      </c>
      <c r="U14" s="307">
        <f t="shared" si="1"/>
        <v>2250</v>
      </c>
      <c r="V14" s="307">
        <f t="shared" si="1"/>
        <v>2250</v>
      </c>
      <c r="W14" s="307">
        <f t="shared" si="1"/>
        <v>2250</v>
      </c>
      <c r="X14" s="307">
        <f t="shared" si="1"/>
        <v>2250</v>
      </c>
      <c r="Y14" s="25"/>
      <c r="Z14" s="25"/>
      <c r="AA14" s="25"/>
      <c r="AB14" s="25"/>
    </row>
    <row r="15" spans="1:28" ht="20.399999999999999">
      <c r="A15" s="33"/>
      <c r="B15" s="33"/>
      <c r="C15" s="1213" t="s">
        <v>139</v>
      </c>
      <c r="D15" s="1214" t="s">
        <v>140</v>
      </c>
      <c r="E15" s="601"/>
      <c r="F15" s="602">
        <f t="shared" si="0"/>
        <v>0</v>
      </c>
      <c r="G15" s="603"/>
      <c r="I15" s="305" t="s">
        <v>225</v>
      </c>
      <c r="J15" s="1193">
        <f>SUMIF('Startup Costs'!$G$11:$G$543, 'Startup Costs'!I15, 'Startup Costs'!$E$11:$E$543)</f>
        <v>0</v>
      </c>
      <c r="K15" s="309">
        <v>0.1</v>
      </c>
      <c r="L15" s="307">
        <f>K15*J15</f>
        <v>0</v>
      </c>
      <c r="M15" s="310">
        <v>10</v>
      </c>
      <c r="N15" s="306" t="s">
        <v>734</v>
      </c>
      <c r="O15" s="307">
        <f t="shared" si="1"/>
        <v>0</v>
      </c>
      <c r="P15" s="307">
        <f t="shared" si="1"/>
        <v>0</v>
      </c>
      <c r="Q15" s="307">
        <f t="shared" si="1"/>
        <v>0</v>
      </c>
      <c r="R15" s="307">
        <f t="shared" si="1"/>
        <v>0</v>
      </c>
      <c r="S15" s="307">
        <f t="shared" si="1"/>
        <v>0</v>
      </c>
      <c r="T15" s="307">
        <f t="shared" si="1"/>
        <v>0</v>
      </c>
      <c r="U15" s="307">
        <f t="shared" si="1"/>
        <v>0</v>
      </c>
      <c r="V15" s="307">
        <f t="shared" si="1"/>
        <v>0</v>
      </c>
      <c r="W15" s="307">
        <f t="shared" si="1"/>
        <v>0</v>
      </c>
      <c r="X15" s="307">
        <f t="shared" si="1"/>
        <v>0</v>
      </c>
    </row>
    <row r="16" spans="1:28" ht="20.399999999999999">
      <c r="A16" s="33"/>
      <c r="B16" s="33"/>
      <c r="C16" s="1213" t="s">
        <v>141</v>
      </c>
      <c r="D16" s="1214" t="s">
        <v>142</v>
      </c>
      <c r="E16" s="601"/>
      <c r="F16" s="602">
        <f t="shared" si="0"/>
        <v>0</v>
      </c>
      <c r="G16" s="603"/>
      <c r="I16" s="308" t="s">
        <v>738</v>
      </c>
      <c r="J16" s="1193">
        <f>SUMIF('Startup Costs'!$G$11:$G$543, 'Startup Costs'!I16, 'Startup Costs'!$E$11:$E$543)</f>
        <v>0</v>
      </c>
      <c r="K16" s="309">
        <v>0.1</v>
      </c>
      <c r="L16" s="307">
        <f>K16*J16</f>
        <v>0</v>
      </c>
      <c r="M16" s="310">
        <v>5</v>
      </c>
      <c r="N16" s="306" t="s">
        <v>734</v>
      </c>
      <c r="O16" s="307">
        <f t="shared" si="1"/>
        <v>0</v>
      </c>
      <c r="P16" s="307">
        <f t="shared" si="1"/>
        <v>0</v>
      </c>
      <c r="Q16" s="307">
        <f t="shared" si="1"/>
        <v>0</v>
      </c>
      <c r="R16" s="307">
        <f t="shared" si="1"/>
        <v>0</v>
      </c>
      <c r="S16" s="307">
        <f t="shared" si="1"/>
        <v>0</v>
      </c>
      <c r="T16" s="307">
        <f t="shared" si="1"/>
        <v>0</v>
      </c>
      <c r="U16" s="307">
        <f t="shared" si="1"/>
        <v>0</v>
      </c>
      <c r="V16" s="307">
        <f t="shared" si="1"/>
        <v>0</v>
      </c>
      <c r="W16" s="307">
        <f t="shared" si="1"/>
        <v>0</v>
      </c>
      <c r="X16" s="307">
        <f t="shared" si="1"/>
        <v>0</v>
      </c>
    </row>
    <row r="17" spans="1:24" ht="12" customHeight="1">
      <c r="A17" s="33"/>
      <c r="B17" s="33"/>
      <c r="C17" s="1213" t="s">
        <v>143</v>
      </c>
      <c r="D17" s="1214" t="s">
        <v>144</v>
      </c>
      <c r="E17" s="601"/>
      <c r="F17" s="602">
        <f t="shared" si="0"/>
        <v>0</v>
      </c>
      <c r="G17" s="603"/>
      <c r="I17" s="305" t="s">
        <v>739</v>
      </c>
      <c r="J17" s="1193">
        <f>SUMIF('Startup Costs'!$G$11:$G$543, 'Startup Costs'!I17, 'Startup Costs'!$E$11:$E$543)</f>
        <v>0</v>
      </c>
      <c r="K17" s="309">
        <v>0.1</v>
      </c>
      <c r="L17" s="307">
        <f>K17*J17</f>
        <v>0</v>
      </c>
      <c r="M17" s="310">
        <v>5</v>
      </c>
      <c r="N17" s="306" t="s">
        <v>734</v>
      </c>
      <c r="O17" s="307">
        <f t="shared" si="1"/>
        <v>0</v>
      </c>
      <c r="P17" s="307">
        <f t="shared" si="1"/>
        <v>0</v>
      </c>
      <c r="Q17" s="307">
        <f t="shared" si="1"/>
        <v>0</v>
      </c>
      <c r="R17" s="307">
        <f t="shared" si="1"/>
        <v>0</v>
      </c>
      <c r="S17" s="307">
        <f t="shared" si="1"/>
        <v>0</v>
      </c>
      <c r="T17" s="307">
        <f t="shared" si="1"/>
        <v>0</v>
      </c>
      <c r="U17" s="307">
        <f t="shared" si="1"/>
        <v>0</v>
      </c>
      <c r="V17" s="307">
        <f t="shared" si="1"/>
        <v>0</v>
      </c>
      <c r="W17" s="307">
        <f t="shared" si="1"/>
        <v>0</v>
      </c>
      <c r="X17" s="307">
        <f t="shared" si="1"/>
        <v>0</v>
      </c>
    </row>
    <row r="18" spans="1:24" ht="12.3">
      <c r="A18" s="30"/>
      <c r="B18" s="30"/>
      <c r="C18" s="1213" t="s">
        <v>150</v>
      </c>
      <c r="D18" s="1214" t="s">
        <v>151</v>
      </c>
      <c r="E18" s="601"/>
      <c r="F18" s="602">
        <f t="shared" si="0"/>
        <v>0</v>
      </c>
      <c r="G18" s="603"/>
      <c r="I18" s="305" t="s">
        <v>740</v>
      </c>
      <c r="J18" s="1193">
        <f>SUMIF('Startup Costs'!$G$11:$G$543, 'Startup Costs'!I18, 'Startup Costs'!$E$11:$E$543)</f>
        <v>0</v>
      </c>
      <c r="K18" s="309">
        <v>0.1</v>
      </c>
      <c r="L18" s="307">
        <f>K18*J18</f>
        <v>0</v>
      </c>
      <c r="M18" s="310">
        <v>15</v>
      </c>
      <c r="N18" s="306" t="s">
        <v>734</v>
      </c>
      <c r="O18" s="307">
        <f t="shared" si="1"/>
        <v>0</v>
      </c>
      <c r="P18" s="307">
        <f t="shared" si="1"/>
        <v>0</v>
      </c>
      <c r="Q18" s="307">
        <f t="shared" si="1"/>
        <v>0</v>
      </c>
      <c r="R18" s="307">
        <f t="shared" si="1"/>
        <v>0</v>
      </c>
      <c r="S18" s="307">
        <f t="shared" si="1"/>
        <v>0</v>
      </c>
      <c r="T18" s="307">
        <f t="shared" si="1"/>
        <v>0</v>
      </c>
      <c r="U18" s="307">
        <f t="shared" si="1"/>
        <v>0</v>
      </c>
      <c r="V18" s="307">
        <f t="shared" si="1"/>
        <v>0</v>
      </c>
      <c r="W18" s="307">
        <f t="shared" si="1"/>
        <v>0</v>
      </c>
      <c r="X18" s="307">
        <f t="shared" si="1"/>
        <v>0</v>
      </c>
    </row>
    <row r="19" spans="1:24" ht="20.399999999999999">
      <c r="A19" s="30"/>
      <c r="B19" s="30"/>
      <c r="C19" s="1213" t="s">
        <v>152</v>
      </c>
      <c r="D19" s="1214" t="s">
        <v>153</v>
      </c>
      <c r="E19" s="601"/>
      <c r="F19" s="602">
        <f t="shared" si="0"/>
        <v>0</v>
      </c>
      <c r="G19" s="603"/>
      <c r="I19" s="304"/>
      <c r="J19" s="304"/>
      <c r="K19" s="304"/>
      <c r="L19" s="304"/>
      <c r="M19" s="304"/>
      <c r="N19" s="1148" t="s">
        <v>735</v>
      </c>
      <c r="O19" s="1149">
        <f t="shared" ref="O19:X19" si="2">SUM(O14:O18)</f>
        <v>2250</v>
      </c>
      <c r="P19" s="1149">
        <f t="shared" si="2"/>
        <v>2250</v>
      </c>
      <c r="Q19" s="1149">
        <f t="shared" si="2"/>
        <v>2250</v>
      </c>
      <c r="R19" s="1149">
        <f t="shared" si="2"/>
        <v>2250</v>
      </c>
      <c r="S19" s="1149">
        <f t="shared" si="2"/>
        <v>2250</v>
      </c>
      <c r="T19" s="1149">
        <f t="shared" si="2"/>
        <v>2250</v>
      </c>
      <c r="U19" s="1149">
        <f t="shared" si="2"/>
        <v>2250</v>
      </c>
      <c r="V19" s="1149">
        <f t="shared" si="2"/>
        <v>2250</v>
      </c>
      <c r="W19" s="1149">
        <f t="shared" si="2"/>
        <v>2250</v>
      </c>
      <c r="X19" s="1149">
        <f t="shared" si="2"/>
        <v>2250</v>
      </c>
    </row>
    <row r="20" spans="1:24" s="1048" customFormat="1" ht="12.3">
      <c r="A20" s="33"/>
      <c r="B20" s="33"/>
      <c r="C20" s="1213"/>
      <c r="D20" s="1214"/>
      <c r="E20" s="601"/>
      <c r="F20" s="602">
        <f t="shared" si="0"/>
        <v>0</v>
      </c>
      <c r="G20" s="603"/>
      <c r="H20" s="1047"/>
      <c r="I20" s="304"/>
      <c r="J20" s="304"/>
      <c r="K20" s="304"/>
      <c r="L20" s="304"/>
      <c r="M20" s="304"/>
      <c r="N20" s="1224"/>
      <c r="O20" s="1225"/>
      <c r="P20" s="1225"/>
      <c r="Q20" s="1225"/>
      <c r="R20" s="1225"/>
      <c r="S20" s="1225"/>
      <c r="T20" s="1225"/>
      <c r="U20" s="1225"/>
      <c r="V20" s="1225"/>
      <c r="W20" s="1225"/>
      <c r="X20" s="1225"/>
    </row>
    <row r="21" spans="1:24" s="1048" customFormat="1" ht="12.3">
      <c r="A21" s="33"/>
      <c r="B21" s="33"/>
      <c r="C21" s="1213"/>
      <c r="D21" s="1214"/>
      <c r="E21" s="601"/>
      <c r="F21" s="602">
        <f t="shared" si="0"/>
        <v>0</v>
      </c>
      <c r="G21" s="603"/>
      <c r="H21" s="1047"/>
      <c r="I21" s="304"/>
      <c r="J21" s="304"/>
      <c r="K21" s="304"/>
      <c r="L21" s="304"/>
      <c r="M21" s="304"/>
      <c r="N21" s="1224"/>
      <c r="O21" s="1225"/>
      <c r="P21" s="1225"/>
      <c r="Q21" s="1225"/>
      <c r="R21" s="1225"/>
      <c r="S21" s="1225"/>
      <c r="T21" s="1225"/>
      <c r="U21" s="1225"/>
      <c r="V21" s="1225"/>
      <c r="W21" s="1225"/>
      <c r="X21" s="1225"/>
    </row>
    <row r="22" spans="1:24" s="1048" customFormat="1" ht="12.3">
      <c r="A22" s="33"/>
      <c r="B22" s="33"/>
      <c r="C22" s="1213"/>
      <c r="D22" s="1214"/>
      <c r="E22" s="601"/>
      <c r="F22" s="602">
        <f t="shared" si="0"/>
        <v>0</v>
      </c>
      <c r="G22" s="603"/>
      <c r="H22" s="1047"/>
      <c r="I22" s="304"/>
      <c r="J22" s="304"/>
      <c r="K22" s="304"/>
      <c r="L22" s="304"/>
      <c r="M22" s="304"/>
      <c r="N22" s="1224"/>
      <c r="O22" s="1225"/>
      <c r="P22" s="1225"/>
      <c r="Q22" s="1225"/>
      <c r="R22" s="1225"/>
      <c r="S22" s="1225"/>
      <c r="T22" s="1225"/>
      <c r="U22" s="1225"/>
      <c r="V22" s="1225"/>
      <c r="W22" s="1225"/>
      <c r="X22" s="1225"/>
    </row>
    <row r="23" spans="1:24" s="1048" customFormat="1" ht="12.3">
      <c r="A23" s="33"/>
      <c r="B23" s="33"/>
      <c r="C23" s="1213"/>
      <c r="D23" s="1214"/>
      <c r="E23" s="601"/>
      <c r="F23" s="602">
        <f t="shared" si="0"/>
        <v>0</v>
      </c>
      <c r="G23" s="603"/>
      <c r="H23" s="1047"/>
      <c r="I23" s="304"/>
      <c r="J23" s="304"/>
      <c r="K23" s="304"/>
      <c r="L23" s="304"/>
      <c r="M23" s="304"/>
      <c r="N23" s="1224"/>
      <c r="O23" s="1225"/>
      <c r="P23" s="1225"/>
      <c r="Q23" s="1225"/>
      <c r="R23" s="1225"/>
      <c r="S23" s="1225"/>
      <c r="T23" s="1225"/>
      <c r="U23" s="1225"/>
      <c r="V23" s="1225"/>
      <c r="W23" s="1225"/>
      <c r="X23" s="1225"/>
    </row>
    <row r="24" spans="1:24" s="1048" customFormat="1" ht="12.3">
      <c r="A24" s="33"/>
      <c r="B24" s="33"/>
      <c r="C24" s="1213"/>
      <c r="D24" s="1214"/>
      <c r="E24" s="601"/>
      <c r="F24" s="602">
        <f t="shared" si="0"/>
        <v>0</v>
      </c>
      <c r="G24" s="603"/>
      <c r="H24" s="1047"/>
      <c r="I24" s="304"/>
      <c r="J24" s="304"/>
      <c r="K24" s="304"/>
      <c r="L24" s="304"/>
      <c r="M24" s="304"/>
      <c r="N24" s="1224"/>
      <c r="O24" s="1225"/>
      <c r="P24" s="1225"/>
      <c r="Q24" s="1225"/>
      <c r="R24" s="1225"/>
      <c r="S24" s="1225"/>
      <c r="T24" s="1225"/>
      <c r="U24" s="1225"/>
      <c r="V24" s="1225"/>
      <c r="W24" s="1225"/>
      <c r="X24" s="1225"/>
    </row>
    <row r="25" spans="1:24" ht="12" customHeight="1">
      <c r="A25" s="27"/>
      <c r="B25" s="27"/>
      <c r="C25" s="604"/>
      <c r="D25" s="605"/>
      <c r="E25" s="606"/>
      <c r="F25" s="524"/>
      <c r="G25" s="607"/>
    </row>
    <row r="26" spans="1:24" ht="12" customHeight="1">
      <c r="A26" s="29"/>
      <c r="B26" s="29"/>
      <c r="C26" s="597" t="s">
        <v>148</v>
      </c>
      <c r="D26" s="598" t="s">
        <v>132</v>
      </c>
      <c r="E26" s="599">
        <f>SUM(E27:E38)</f>
        <v>0</v>
      </c>
      <c r="F26" s="600">
        <f>IFERROR(E26/$F$4, 0)</f>
        <v>0</v>
      </c>
      <c r="G26" s="608"/>
    </row>
    <row r="27" spans="1:24" ht="30.6">
      <c r="A27" s="30"/>
      <c r="B27" s="30"/>
      <c r="C27" s="1215" t="s">
        <v>160</v>
      </c>
      <c r="D27" s="1214" t="s">
        <v>161</v>
      </c>
      <c r="E27" s="478"/>
      <c r="F27" s="602">
        <f t="shared" ref="F27:F38" si="3">IF(E27="TBD", 0, IF($F$4=0, "", E27/$F$4))</f>
        <v>0</v>
      </c>
      <c r="G27" s="603"/>
    </row>
    <row r="28" spans="1:24" ht="20.399999999999999">
      <c r="A28" s="30"/>
      <c r="B28" s="30"/>
      <c r="C28" s="1215" t="s">
        <v>162</v>
      </c>
      <c r="D28" s="1214" t="s">
        <v>163</v>
      </c>
      <c r="E28" s="601"/>
      <c r="F28" s="602">
        <f t="shared" si="3"/>
        <v>0</v>
      </c>
      <c r="G28" s="603"/>
      <c r="I28" s="1047" t="str">
        <f>C10</f>
        <v>Greenhouse and/or Building Improvements</v>
      </c>
      <c r="J28" s="1221">
        <f>E10</f>
        <v>50000</v>
      </c>
    </row>
    <row r="29" spans="1:24" ht="12" customHeight="1">
      <c r="A29" s="30"/>
      <c r="B29" s="30"/>
      <c r="C29" s="1215" t="s">
        <v>164</v>
      </c>
      <c r="D29" s="1214" t="s">
        <v>165</v>
      </c>
      <c r="E29" s="601"/>
      <c r="F29" s="602">
        <f t="shared" si="3"/>
        <v>0</v>
      </c>
      <c r="G29" s="603"/>
      <c r="I29" s="1047" t="str">
        <f>C26</f>
        <v>Aquaponic System</v>
      </c>
      <c r="J29" s="1221">
        <f>E26</f>
        <v>0</v>
      </c>
    </row>
    <row r="30" spans="1:24" ht="20.399999999999999">
      <c r="A30" s="30"/>
      <c r="B30" s="30"/>
      <c r="C30" s="1215" t="s">
        <v>166</v>
      </c>
      <c r="D30" s="1214" t="s">
        <v>167</v>
      </c>
      <c r="E30" s="478"/>
      <c r="F30" s="602">
        <f t="shared" si="3"/>
        <v>0</v>
      </c>
      <c r="G30" s="603"/>
      <c r="I30" s="1047" t="str">
        <f>C40</f>
        <v>City and County Entitlement</v>
      </c>
      <c r="J30" s="1221">
        <f>E40</f>
        <v>0</v>
      </c>
    </row>
    <row r="31" spans="1:24" ht="12" customHeight="1">
      <c r="A31" s="30"/>
      <c r="B31" s="30"/>
      <c r="C31" s="1215" t="s">
        <v>169</v>
      </c>
      <c r="D31" s="1214" t="s">
        <v>170</v>
      </c>
      <c r="E31" s="478"/>
      <c r="F31" s="602">
        <f t="shared" si="3"/>
        <v>0</v>
      </c>
      <c r="G31" s="603"/>
      <c r="I31" s="1047" t="str">
        <f>C53</f>
        <v>Site Development</v>
      </c>
      <c r="J31" s="1221">
        <f>E53</f>
        <v>0</v>
      </c>
    </row>
    <row r="32" spans="1:24" ht="20.399999999999999">
      <c r="A32" s="30"/>
      <c r="B32" s="30"/>
      <c r="C32" s="1215" t="s">
        <v>171</v>
      </c>
      <c r="D32" s="1214" t="s">
        <v>172</v>
      </c>
      <c r="E32" s="478"/>
      <c r="F32" s="602">
        <f t="shared" si="3"/>
        <v>0</v>
      </c>
      <c r="G32" s="603"/>
      <c r="I32" s="1047" t="str">
        <f>C73</f>
        <v>FF&amp;E</v>
      </c>
      <c r="J32" s="1221">
        <f>E73</f>
        <v>0</v>
      </c>
    </row>
    <row r="33" spans="1:28" ht="20.399999999999999">
      <c r="A33" s="30"/>
      <c r="B33" s="30"/>
      <c r="C33" s="1215" t="s">
        <v>174</v>
      </c>
      <c r="D33" s="1214" t="s">
        <v>175</v>
      </c>
      <c r="E33" s="478"/>
      <c r="F33" s="602">
        <f t="shared" si="3"/>
        <v>0</v>
      </c>
      <c r="G33" s="603"/>
      <c r="I33" s="1047" t="str">
        <f>C87</f>
        <v>Farm Supplies</v>
      </c>
      <c r="J33" s="1221">
        <f>E87</f>
        <v>0</v>
      </c>
    </row>
    <row r="34" spans="1:28" ht="12" customHeight="1">
      <c r="A34" s="30"/>
      <c r="B34" s="30"/>
      <c r="C34" s="1215" t="s">
        <v>176</v>
      </c>
      <c r="D34" s="1214" t="s">
        <v>177</v>
      </c>
      <c r="E34" s="478"/>
      <c r="F34" s="602">
        <f t="shared" si="3"/>
        <v>0</v>
      </c>
      <c r="G34" s="603"/>
    </row>
    <row r="35" spans="1:28" s="1048" customFormat="1" ht="12" customHeight="1">
      <c r="A35" s="33"/>
      <c r="B35" s="33"/>
      <c r="C35" s="1215"/>
      <c r="D35" s="1214"/>
      <c r="E35" s="478"/>
      <c r="F35" s="602">
        <f t="shared" si="3"/>
        <v>0</v>
      </c>
      <c r="G35" s="603"/>
      <c r="H35" s="1047"/>
      <c r="I35" s="1047"/>
    </row>
    <row r="36" spans="1:28" s="1048" customFormat="1" ht="12" customHeight="1">
      <c r="A36" s="33"/>
      <c r="B36" s="33"/>
      <c r="C36" s="1215"/>
      <c r="D36" s="1214"/>
      <c r="E36" s="478"/>
      <c r="F36" s="602">
        <f t="shared" si="3"/>
        <v>0</v>
      </c>
      <c r="G36" s="603"/>
      <c r="H36" s="1047"/>
      <c r="I36" s="1047"/>
    </row>
    <row r="37" spans="1:28" s="1048" customFormat="1" ht="12" customHeight="1">
      <c r="A37" s="33"/>
      <c r="B37" s="33"/>
      <c r="C37" s="1215"/>
      <c r="D37" s="1214"/>
      <c r="E37" s="478"/>
      <c r="F37" s="602">
        <f t="shared" si="3"/>
        <v>0</v>
      </c>
      <c r="G37" s="603"/>
      <c r="H37" s="1047"/>
      <c r="I37" s="1047"/>
    </row>
    <row r="38" spans="1:28" s="1048" customFormat="1" ht="12" customHeight="1">
      <c r="A38" s="33"/>
      <c r="B38" s="33"/>
      <c r="C38" s="1215"/>
      <c r="D38" s="1214"/>
      <c r="E38" s="478"/>
      <c r="F38" s="602">
        <f t="shared" si="3"/>
        <v>0</v>
      </c>
      <c r="G38" s="603"/>
      <c r="H38" s="1047"/>
      <c r="I38" s="1047"/>
    </row>
    <row r="39" spans="1:28" ht="12.3">
      <c r="A39" s="28"/>
      <c r="B39" s="28"/>
      <c r="C39" s="609"/>
      <c r="D39" s="610"/>
      <c r="E39" s="611"/>
      <c r="F39" s="612"/>
      <c r="G39" s="613"/>
      <c r="H39" s="294"/>
      <c r="I39" s="294"/>
      <c r="J39" s="3"/>
      <c r="K39" s="3"/>
      <c r="L39" s="3"/>
      <c r="M39" s="3"/>
      <c r="N39" s="3"/>
      <c r="O39" s="3"/>
      <c r="P39" s="3"/>
      <c r="Q39" s="3"/>
      <c r="R39" s="3"/>
      <c r="S39" s="3"/>
      <c r="T39" s="3"/>
      <c r="U39" s="3"/>
      <c r="V39" s="3"/>
      <c r="W39" s="3"/>
      <c r="X39" s="3"/>
      <c r="Y39" s="3"/>
      <c r="Z39" s="3"/>
      <c r="AA39" s="3"/>
      <c r="AB39" s="3"/>
    </row>
    <row r="40" spans="1:28" ht="12.3">
      <c r="A40" s="29"/>
      <c r="B40" s="29"/>
      <c r="C40" s="597" t="s">
        <v>178</v>
      </c>
      <c r="D40" s="598" t="s">
        <v>132</v>
      </c>
      <c r="E40" s="599">
        <f>SUM(E41:E51)</f>
        <v>0</v>
      </c>
      <c r="F40" s="600">
        <f>IFERROR(E40/$F$4, 0)</f>
        <v>0</v>
      </c>
      <c r="G40" s="608"/>
    </row>
    <row r="41" spans="1:28" ht="20.25" customHeight="1">
      <c r="A41" s="30"/>
      <c r="B41" s="30"/>
      <c r="C41" s="1215" t="s">
        <v>180</v>
      </c>
      <c r="D41" s="1214" t="s">
        <v>181</v>
      </c>
      <c r="E41" s="478"/>
      <c r="F41" s="602">
        <f t="shared" ref="F41:F51" si="4">IF(E41="TBD", 0, IF($F$4=0, "", E41/$F$4))</f>
        <v>0</v>
      </c>
      <c r="G41" s="603"/>
    </row>
    <row r="42" spans="1:28" ht="20.25" customHeight="1">
      <c r="A42" s="30"/>
      <c r="B42" s="30"/>
      <c r="C42" s="1215" t="s">
        <v>183</v>
      </c>
      <c r="D42" s="1214" t="s">
        <v>184</v>
      </c>
      <c r="E42" s="478"/>
      <c r="F42" s="602">
        <f t="shared" si="4"/>
        <v>0</v>
      </c>
      <c r="G42" s="603"/>
    </row>
    <row r="43" spans="1:28" ht="18" customHeight="1">
      <c r="A43" s="30"/>
      <c r="B43" s="30"/>
      <c r="C43" s="1215" t="s">
        <v>185</v>
      </c>
      <c r="D43" s="1214" t="s">
        <v>186</v>
      </c>
      <c r="E43" s="478"/>
      <c r="F43" s="602">
        <f t="shared" si="4"/>
        <v>0</v>
      </c>
      <c r="G43" s="603"/>
    </row>
    <row r="44" spans="1:28" ht="12.3">
      <c r="A44" s="30"/>
      <c r="B44" s="30"/>
      <c r="C44" s="1215" t="s">
        <v>187</v>
      </c>
      <c r="D44" s="1214" t="s">
        <v>188</v>
      </c>
      <c r="E44" s="478"/>
      <c r="F44" s="602">
        <f t="shared" si="4"/>
        <v>0</v>
      </c>
      <c r="G44" s="603"/>
    </row>
    <row r="45" spans="1:28" ht="12.3">
      <c r="A45" s="30"/>
      <c r="B45" s="30"/>
      <c r="C45" s="1215" t="s">
        <v>189</v>
      </c>
      <c r="D45" s="1214" t="s">
        <v>190</v>
      </c>
      <c r="E45" s="478"/>
      <c r="F45" s="602">
        <f t="shared" si="4"/>
        <v>0</v>
      </c>
      <c r="G45" s="603"/>
    </row>
    <row r="46" spans="1:28" ht="12.3">
      <c r="A46" s="30"/>
      <c r="B46" s="30"/>
      <c r="C46" s="1215" t="s">
        <v>191</v>
      </c>
      <c r="D46" s="1214" t="s">
        <v>192</v>
      </c>
      <c r="E46" s="478"/>
      <c r="F46" s="602">
        <f t="shared" si="4"/>
        <v>0</v>
      </c>
      <c r="G46" s="603"/>
    </row>
    <row r="47" spans="1:28" ht="12.3">
      <c r="A47" s="30"/>
      <c r="B47" s="30"/>
      <c r="C47" s="1215" t="s">
        <v>193</v>
      </c>
      <c r="D47" s="1214" t="s">
        <v>194</v>
      </c>
      <c r="E47" s="478"/>
      <c r="F47" s="602">
        <f t="shared" si="4"/>
        <v>0</v>
      </c>
      <c r="G47" s="603"/>
    </row>
    <row r="48" spans="1:28" s="1048" customFormat="1" ht="12.3">
      <c r="A48" s="33"/>
      <c r="B48" s="33"/>
      <c r="C48" s="1215"/>
      <c r="D48" s="1214"/>
      <c r="E48" s="478"/>
      <c r="F48" s="602">
        <f t="shared" si="4"/>
        <v>0</v>
      </c>
      <c r="G48" s="603"/>
      <c r="H48" s="1047"/>
      <c r="I48" s="1047"/>
    </row>
    <row r="49" spans="1:9" s="1048" customFormat="1" ht="12.3">
      <c r="A49" s="33"/>
      <c r="B49" s="33"/>
      <c r="C49" s="1215"/>
      <c r="D49" s="1214"/>
      <c r="E49" s="478"/>
      <c r="F49" s="602">
        <f t="shared" si="4"/>
        <v>0</v>
      </c>
      <c r="G49" s="603"/>
      <c r="H49" s="1047"/>
      <c r="I49" s="1047"/>
    </row>
    <row r="50" spans="1:9" ht="12.3">
      <c r="A50" s="30"/>
      <c r="B50" s="30"/>
      <c r="C50" s="1215"/>
      <c r="D50" s="1214"/>
      <c r="E50" s="478"/>
      <c r="F50" s="602">
        <f t="shared" si="4"/>
        <v>0</v>
      </c>
      <c r="G50" s="603"/>
    </row>
    <row r="51" spans="1:9" ht="12.3">
      <c r="A51" s="30"/>
      <c r="B51" s="30"/>
      <c r="C51" s="1215"/>
      <c r="D51" s="1214"/>
      <c r="E51" s="478"/>
      <c r="F51" s="602">
        <f t="shared" si="4"/>
        <v>0</v>
      </c>
      <c r="G51" s="603"/>
    </row>
    <row r="52" spans="1:9" ht="12.3">
      <c r="A52" s="30"/>
      <c r="B52" s="30"/>
      <c r="C52" s="614"/>
      <c r="D52" s="605"/>
      <c r="E52" s="606"/>
      <c r="F52" s="524"/>
      <c r="G52" s="607"/>
    </row>
    <row r="53" spans="1:9" ht="12.3">
      <c r="A53" s="29"/>
      <c r="B53" s="29"/>
      <c r="C53" s="597" t="s">
        <v>195</v>
      </c>
      <c r="D53" s="598" t="s">
        <v>132</v>
      </c>
      <c r="E53" s="599">
        <f>SUM(E54:E71)</f>
        <v>0</v>
      </c>
      <c r="F53" s="600">
        <f>IFERROR(E53/$F$4, 0)</f>
        <v>0</v>
      </c>
      <c r="G53" s="608"/>
    </row>
    <row r="54" spans="1:9" ht="12.3">
      <c r="A54" s="30"/>
      <c r="B54" s="30"/>
      <c r="C54" s="1215" t="s">
        <v>196</v>
      </c>
      <c r="D54" s="1214" t="s">
        <v>197</v>
      </c>
      <c r="E54" s="478"/>
      <c r="F54" s="602">
        <f t="shared" ref="F54:F71" si="5">IF(E54="TBD", 0, IF($F$4=0, "", E54/$F$4))</f>
        <v>0</v>
      </c>
      <c r="G54" s="603"/>
    </row>
    <row r="55" spans="1:9" ht="12.3">
      <c r="A55" s="30"/>
      <c r="B55" s="30"/>
      <c r="C55" s="1215" t="s">
        <v>198</v>
      </c>
      <c r="D55" s="1214" t="s">
        <v>199</v>
      </c>
      <c r="E55" s="478"/>
      <c r="F55" s="602">
        <f t="shared" si="5"/>
        <v>0</v>
      </c>
      <c r="G55" s="603"/>
    </row>
    <row r="56" spans="1:9" ht="12.3">
      <c r="A56" s="30"/>
      <c r="B56" s="30"/>
      <c r="C56" s="1215" t="s">
        <v>200</v>
      </c>
      <c r="D56" s="1214" t="s">
        <v>201</v>
      </c>
      <c r="E56" s="478"/>
      <c r="F56" s="602">
        <f t="shared" si="5"/>
        <v>0</v>
      </c>
      <c r="G56" s="603"/>
    </row>
    <row r="57" spans="1:9" ht="12.3">
      <c r="A57" s="30"/>
      <c r="B57" s="30"/>
      <c r="C57" s="1215" t="s">
        <v>202</v>
      </c>
      <c r="D57" s="1214" t="s">
        <v>203</v>
      </c>
      <c r="E57" s="478"/>
      <c r="F57" s="602">
        <f t="shared" si="5"/>
        <v>0</v>
      </c>
      <c r="G57" s="603"/>
    </row>
    <row r="58" spans="1:9" ht="12.3">
      <c r="A58" s="30"/>
      <c r="B58" s="30"/>
      <c r="C58" s="1215" t="s">
        <v>204</v>
      </c>
      <c r="D58" s="1214" t="s">
        <v>206</v>
      </c>
      <c r="E58" s="478"/>
      <c r="F58" s="602">
        <f t="shared" si="5"/>
        <v>0</v>
      </c>
      <c r="G58" s="603"/>
    </row>
    <row r="59" spans="1:9" ht="12.3">
      <c r="A59" s="30"/>
      <c r="B59" s="30"/>
      <c r="C59" s="1215" t="s">
        <v>207</v>
      </c>
      <c r="D59" s="1214" t="s">
        <v>208</v>
      </c>
      <c r="E59" s="478"/>
      <c r="F59" s="602">
        <f t="shared" si="5"/>
        <v>0</v>
      </c>
      <c r="G59" s="603"/>
    </row>
    <row r="60" spans="1:9" ht="12.3">
      <c r="A60" s="30"/>
      <c r="B60" s="30"/>
      <c r="C60" s="1215" t="s">
        <v>210</v>
      </c>
      <c r="D60" s="1214" t="s">
        <v>211</v>
      </c>
      <c r="E60" s="478"/>
      <c r="F60" s="602">
        <f t="shared" si="5"/>
        <v>0</v>
      </c>
      <c r="G60" s="603"/>
    </row>
    <row r="61" spans="1:9" ht="12.3">
      <c r="A61" s="30"/>
      <c r="B61" s="30"/>
      <c r="C61" s="1215" t="s">
        <v>212</v>
      </c>
      <c r="D61" s="1214" t="s">
        <v>213</v>
      </c>
      <c r="E61" s="478"/>
      <c r="F61" s="602">
        <f t="shared" si="5"/>
        <v>0</v>
      </c>
      <c r="G61" s="603"/>
    </row>
    <row r="62" spans="1:9" ht="12.3">
      <c r="A62" s="33"/>
      <c r="B62" s="33"/>
      <c r="C62" s="1215" t="s">
        <v>214</v>
      </c>
      <c r="D62" s="1214" t="s">
        <v>215</v>
      </c>
      <c r="E62" s="478"/>
      <c r="F62" s="602">
        <f t="shared" si="5"/>
        <v>0</v>
      </c>
      <c r="G62" s="603"/>
    </row>
    <row r="63" spans="1:9" ht="12.3">
      <c r="A63" s="30"/>
      <c r="B63" s="30"/>
      <c r="C63" s="1215" t="s">
        <v>216</v>
      </c>
      <c r="D63" s="1214" t="s">
        <v>217</v>
      </c>
      <c r="E63" s="478"/>
      <c r="F63" s="602">
        <f t="shared" si="5"/>
        <v>0</v>
      </c>
      <c r="G63" s="603"/>
    </row>
    <row r="64" spans="1:9" ht="12.3">
      <c r="A64" s="33"/>
      <c r="B64" s="33"/>
      <c r="C64" s="1215" t="s">
        <v>218</v>
      </c>
      <c r="D64" s="1214" t="s">
        <v>219</v>
      </c>
      <c r="E64" s="478"/>
      <c r="F64" s="602">
        <f t="shared" si="5"/>
        <v>0</v>
      </c>
      <c r="G64" s="603"/>
    </row>
    <row r="65" spans="1:9" ht="12" customHeight="1">
      <c r="A65" s="30"/>
      <c r="B65" s="30"/>
      <c r="C65" s="1215" t="s">
        <v>220</v>
      </c>
      <c r="D65" s="1216" t="s">
        <v>221</v>
      </c>
      <c r="E65" s="478"/>
      <c r="F65" s="602">
        <f t="shared" si="5"/>
        <v>0</v>
      </c>
      <c r="G65" s="603"/>
    </row>
    <row r="66" spans="1:9" ht="12" customHeight="1">
      <c r="A66" s="30"/>
      <c r="B66" s="30"/>
      <c r="C66" s="1213" t="s">
        <v>223</v>
      </c>
      <c r="D66" s="1216"/>
      <c r="E66" s="478"/>
      <c r="F66" s="602">
        <f t="shared" si="5"/>
        <v>0</v>
      </c>
      <c r="G66" s="603"/>
    </row>
    <row r="67" spans="1:9" ht="12" customHeight="1">
      <c r="A67" s="30"/>
      <c r="B67" s="30"/>
      <c r="C67" s="1213" t="s">
        <v>224</v>
      </c>
      <c r="D67" s="1216"/>
      <c r="E67" s="478"/>
      <c r="F67" s="602">
        <f t="shared" si="5"/>
        <v>0</v>
      </c>
      <c r="G67" s="603"/>
    </row>
    <row r="68" spans="1:9" s="1048" customFormat="1" ht="12" customHeight="1">
      <c r="A68" s="33"/>
      <c r="B68" s="33"/>
      <c r="C68" s="1213"/>
      <c r="D68" s="1216"/>
      <c r="E68" s="478"/>
      <c r="F68" s="602">
        <f t="shared" si="5"/>
        <v>0</v>
      </c>
      <c r="G68" s="603"/>
      <c r="H68" s="1047"/>
      <c r="I68" s="1047"/>
    </row>
    <row r="69" spans="1:9" s="1048" customFormat="1" ht="12" customHeight="1">
      <c r="A69" s="33"/>
      <c r="B69" s="33"/>
      <c r="C69" s="1213"/>
      <c r="D69" s="1216"/>
      <c r="E69" s="478"/>
      <c r="F69" s="602">
        <f t="shared" si="5"/>
        <v>0</v>
      </c>
      <c r="G69" s="603"/>
      <c r="H69" s="1047"/>
      <c r="I69" s="1047"/>
    </row>
    <row r="70" spans="1:9" s="1048" customFormat="1" ht="12" customHeight="1">
      <c r="A70" s="33"/>
      <c r="B70" s="33"/>
      <c r="C70" s="1213"/>
      <c r="D70" s="1216"/>
      <c r="E70" s="478"/>
      <c r="F70" s="602">
        <f t="shared" si="5"/>
        <v>0</v>
      </c>
      <c r="G70" s="603"/>
      <c r="H70" s="1047"/>
      <c r="I70" s="1047"/>
    </row>
    <row r="71" spans="1:9" s="1048" customFormat="1" ht="12" customHeight="1">
      <c r="A71" s="33"/>
      <c r="B71" s="33"/>
      <c r="C71" s="1213"/>
      <c r="D71" s="1216"/>
      <c r="E71" s="478"/>
      <c r="F71" s="602">
        <f t="shared" si="5"/>
        <v>0</v>
      </c>
      <c r="G71" s="603"/>
      <c r="H71" s="1047"/>
      <c r="I71" s="1047"/>
    </row>
    <row r="72" spans="1:9" ht="12" customHeight="1">
      <c r="A72" s="30"/>
      <c r="B72" s="30"/>
      <c r="C72" s="614"/>
      <c r="D72" s="605"/>
      <c r="E72" s="606"/>
      <c r="F72" s="524"/>
      <c r="G72" s="607"/>
    </row>
    <row r="73" spans="1:9" ht="12.3">
      <c r="A73" s="29"/>
      <c r="B73" s="29"/>
      <c r="C73" s="597" t="s">
        <v>225</v>
      </c>
      <c r="D73" s="598" t="s">
        <v>132</v>
      </c>
      <c r="E73" s="599">
        <f>SUM(E74:E85)</f>
        <v>0</v>
      </c>
      <c r="F73" s="600">
        <f>IFERROR(E73/$F$4, 0)</f>
        <v>0</v>
      </c>
      <c r="G73" s="608"/>
    </row>
    <row r="74" spans="1:9" ht="12.3">
      <c r="A74" s="30"/>
      <c r="B74" s="30"/>
      <c r="C74" s="1215" t="s">
        <v>226</v>
      </c>
      <c r="D74" s="1214" t="s">
        <v>228</v>
      </c>
      <c r="E74" s="478"/>
      <c r="F74" s="602">
        <f t="shared" ref="F74:F85" si="6">IF(E74="TBD", 0, IF($F$4=0, "", E74/$F$4))</f>
        <v>0</v>
      </c>
      <c r="G74" s="603"/>
    </row>
    <row r="75" spans="1:9" ht="20.399999999999999">
      <c r="A75" s="27"/>
      <c r="B75" s="27"/>
      <c r="C75" s="1217" t="s">
        <v>229</v>
      </c>
      <c r="D75" s="1218" t="s">
        <v>230</v>
      </c>
      <c r="E75" s="478"/>
      <c r="F75" s="602">
        <f t="shared" si="6"/>
        <v>0</v>
      </c>
      <c r="G75" s="603"/>
    </row>
    <row r="76" spans="1:9" ht="14.4">
      <c r="A76" s="27"/>
      <c r="B76" s="27"/>
      <c r="C76" s="1217" t="s">
        <v>231</v>
      </c>
      <c r="D76" s="1218" t="s">
        <v>232</v>
      </c>
      <c r="E76" s="478"/>
      <c r="F76" s="602">
        <f t="shared" si="6"/>
        <v>0</v>
      </c>
      <c r="G76" s="603"/>
    </row>
    <row r="77" spans="1:9" ht="12.3">
      <c r="A77" s="30"/>
      <c r="B77" s="30"/>
      <c r="C77" s="1215" t="s">
        <v>234</v>
      </c>
      <c r="D77" s="1214" t="s">
        <v>235</v>
      </c>
      <c r="E77" s="478"/>
      <c r="F77" s="602">
        <f t="shared" si="6"/>
        <v>0</v>
      </c>
      <c r="G77" s="603"/>
    </row>
    <row r="78" spans="1:9" ht="12.3">
      <c r="A78" s="30"/>
      <c r="B78" s="30"/>
      <c r="C78" s="1215" t="s">
        <v>236</v>
      </c>
      <c r="D78" s="1214" t="s">
        <v>237</v>
      </c>
      <c r="E78" s="478"/>
      <c r="F78" s="602">
        <f t="shared" si="6"/>
        <v>0</v>
      </c>
      <c r="G78" s="603"/>
    </row>
    <row r="79" spans="1:9" ht="12.3">
      <c r="A79" s="30"/>
      <c r="B79" s="30"/>
      <c r="C79" s="1215" t="s">
        <v>238</v>
      </c>
      <c r="D79" s="1214" t="s">
        <v>239</v>
      </c>
      <c r="E79" s="478"/>
      <c r="F79" s="602">
        <f t="shared" si="6"/>
        <v>0</v>
      </c>
      <c r="G79" s="603"/>
    </row>
    <row r="80" spans="1:9" ht="12.3">
      <c r="A80" s="30"/>
      <c r="B80" s="30"/>
      <c r="C80" s="1215" t="s">
        <v>240</v>
      </c>
      <c r="D80" s="1214" t="s">
        <v>241</v>
      </c>
      <c r="E80" s="478"/>
      <c r="F80" s="602">
        <f t="shared" si="6"/>
        <v>0</v>
      </c>
      <c r="G80" s="603"/>
    </row>
    <row r="81" spans="1:9" ht="12.3">
      <c r="A81" s="30"/>
      <c r="B81" s="30"/>
      <c r="C81" s="1215" t="s">
        <v>242</v>
      </c>
      <c r="D81" s="1214" t="s">
        <v>243</v>
      </c>
      <c r="E81" s="478"/>
      <c r="F81" s="602">
        <f t="shared" si="6"/>
        <v>0</v>
      </c>
      <c r="G81" s="603"/>
    </row>
    <row r="82" spans="1:9" ht="12.3">
      <c r="A82" s="30"/>
      <c r="B82" s="30"/>
      <c r="C82" s="1215" t="s">
        <v>244</v>
      </c>
      <c r="D82" s="1214" t="s">
        <v>245</v>
      </c>
      <c r="E82" s="478"/>
      <c r="F82" s="602">
        <f t="shared" si="6"/>
        <v>0</v>
      </c>
      <c r="G82" s="603"/>
    </row>
    <row r="83" spans="1:9" ht="12.3">
      <c r="A83" s="30"/>
      <c r="B83" s="30"/>
      <c r="C83" s="1215" t="s">
        <v>246</v>
      </c>
      <c r="D83" s="1214" t="s">
        <v>247</v>
      </c>
      <c r="E83" s="478"/>
      <c r="F83" s="602">
        <f t="shared" si="6"/>
        <v>0</v>
      </c>
      <c r="G83" s="603"/>
    </row>
    <row r="84" spans="1:9" ht="12" customHeight="1">
      <c r="A84" s="30"/>
      <c r="B84" s="30"/>
      <c r="C84" s="1215"/>
      <c r="D84" s="1216"/>
      <c r="E84" s="478"/>
      <c r="F84" s="602">
        <f t="shared" si="6"/>
        <v>0</v>
      </c>
      <c r="G84" s="603"/>
    </row>
    <row r="85" spans="1:9" ht="12" customHeight="1">
      <c r="A85" s="30"/>
      <c r="B85" s="30"/>
      <c r="C85" s="1215"/>
      <c r="D85" s="1216"/>
      <c r="E85" s="478"/>
      <c r="F85" s="602">
        <f t="shared" si="6"/>
        <v>0</v>
      </c>
      <c r="G85" s="603"/>
    </row>
    <row r="86" spans="1:9" ht="12" customHeight="1">
      <c r="A86" s="27"/>
      <c r="B86" s="27"/>
      <c r="C86" s="604"/>
      <c r="D86" s="605"/>
      <c r="E86" s="606"/>
      <c r="F86" s="524"/>
      <c r="G86" s="607"/>
    </row>
    <row r="87" spans="1:9" ht="12.3">
      <c r="A87" s="27"/>
      <c r="B87" s="27"/>
      <c r="C87" s="597" t="s">
        <v>248</v>
      </c>
      <c r="D87" s="598"/>
      <c r="E87" s="599">
        <f>SUM(E88:E204)</f>
        <v>0</v>
      </c>
      <c r="F87" s="600">
        <f>IFERROR(E87/$F$4, 0)</f>
        <v>0</v>
      </c>
      <c r="G87" s="615" t="s">
        <v>744</v>
      </c>
    </row>
    <row r="88" spans="1:9" ht="12.3">
      <c r="A88" s="27"/>
      <c r="B88" s="27"/>
      <c r="C88" s="616" t="s">
        <v>250</v>
      </c>
      <c r="D88" s="617"/>
      <c r="E88" s="618"/>
      <c r="F88" s="619"/>
      <c r="G88" s="620"/>
    </row>
    <row r="89" spans="1:9" ht="12.3">
      <c r="A89" s="27"/>
      <c r="B89" s="27"/>
      <c r="C89" s="1215" t="s">
        <v>260</v>
      </c>
      <c r="D89" s="1214" t="s">
        <v>262</v>
      </c>
      <c r="E89" s="478"/>
      <c r="F89" s="602">
        <f t="shared" ref="F89:F97" si="7">IF(E89="TBD", 0, IF($F$4=0, "", E89/$F$4))</f>
        <v>0</v>
      </c>
      <c r="G89" s="621"/>
    </row>
    <row r="90" spans="1:9" ht="12.3">
      <c r="A90" s="27"/>
      <c r="B90" s="27"/>
      <c r="C90" s="1215" t="s">
        <v>250</v>
      </c>
      <c r="D90" s="1214" t="s">
        <v>263</v>
      </c>
      <c r="E90" s="478"/>
      <c r="F90" s="602">
        <f t="shared" si="7"/>
        <v>0</v>
      </c>
      <c r="G90" s="621"/>
    </row>
    <row r="91" spans="1:9" ht="20.399999999999999">
      <c r="A91" s="27"/>
      <c r="B91" s="27"/>
      <c r="C91" s="1215" t="s">
        <v>264</v>
      </c>
      <c r="D91" s="1214" t="s">
        <v>265</v>
      </c>
      <c r="E91" s="478"/>
      <c r="F91" s="602">
        <f t="shared" si="7"/>
        <v>0</v>
      </c>
      <c r="G91" s="621"/>
    </row>
    <row r="92" spans="1:9" ht="20.399999999999999">
      <c r="A92" s="27"/>
      <c r="B92" s="27"/>
      <c r="C92" s="1215" t="s">
        <v>267</v>
      </c>
      <c r="D92" s="1214" t="s">
        <v>268</v>
      </c>
      <c r="E92" s="478"/>
      <c r="F92" s="602">
        <f t="shared" si="7"/>
        <v>0</v>
      </c>
      <c r="G92" s="621"/>
    </row>
    <row r="93" spans="1:9" ht="20.399999999999999">
      <c r="A93" s="27"/>
      <c r="B93" s="27"/>
      <c r="C93" s="1219" t="s">
        <v>269</v>
      </c>
      <c r="D93" s="1214" t="s">
        <v>270</v>
      </c>
      <c r="E93" s="478"/>
      <c r="F93" s="602">
        <f t="shared" si="7"/>
        <v>0</v>
      </c>
      <c r="G93" s="621"/>
    </row>
    <row r="94" spans="1:9" ht="20.399999999999999">
      <c r="A94" s="27"/>
      <c r="B94" s="27"/>
      <c r="C94" s="1215" t="s">
        <v>271</v>
      </c>
      <c r="D94" s="1214" t="s">
        <v>272</v>
      </c>
      <c r="E94" s="478"/>
      <c r="F94" s="602">
        <f t="shared" si="7"/>
        <v>0</v>
      </c>
      <c r="G94" s="621"/>
    </row>
    <row r="95" spans="1:9" s="1048" customFormat="1" ht="12.3">
      <c r="A95" s="27"/>
      <c r="B95" s="27"/>
      <c r="C95" s="1215"/>
      <c r="D95" s="1214"/>
      <c r="E95" s="478"/>
      <c r="F95" s="602">
        <f t="shared" si="7"/>
        <v>0</v>
      </c>
      <c r="G95" s="621"/>
      <c r="H95" s="1047"/>
      <c r="I95" s="1047"/>
    </row>
    <row r="96" spans="1:9" s="1048" customFormat="1" ht="12.3">
      <c r="A96" s="27"/>
      <c r="B96" s="27"/>
      <c r="C96" s="1215"/>
      <c r="D96" s="1214"/>
      <c r="E96" s="478"/>
      <c r="F96" s="602">
        <f t="shared" si="7"/>
        <v>0</v>
      </c>
      <c r="G96" s="621"/>
      <c r="H96" s="1047"/>
      <c r="I96" s="1047"/>
    </row>
    <row r="97" spans="1:9" s="1048" customFormat="1" ht="12.3">
      <c r="A97" s="27"/>
      <c r="B97" s="27"/>
      <c r="C97" s="1215"/>
      <c r="D97" s="1214"/>
      <c r="E97" s="478"/>
      <c r="F97" s="602">
        <f t="shared" si="7"/>
        <v>0</v>
      </c>
      <c r="G97" s="621"/>
      <c r="H97" s="1047"/>
      <c r="I97" s="1047"/>
    </row>
    <row r="98" spans="1:9" ht="12.3">
      <c r="A98" s="27"/>
      <c r="B98" s="27"/>
      <c r="C98" s="616" t="s">
        <v>56</v>
      </c>
      <c r="D98" s="617"/>
      <c r="E98" s="618"/>
      <c r="F98" s="619"/>
      <c r="G98" s="620"/>
    </row>
    <row r="99" spans="1:9" ht="30.6">
      <c r="A99" s="27"/>
      <c r="B99" s="27"/>
      <c r="C99" s="1219" t="s">
        <v>273</v>
      </c>
      <c r="D99" s="1214" t="s">
        <v>274</v>
      </c>
      <c r="E99" s="478"/>
      <c r="F99" s="602">
        <f t="shared" ref="F99:F108" si="8">IF(E99="TBD", 0, IF($F$4=0, "", E99/$F$4))</f>
        <v>0</v>
      </c>
      <c r="G99" s="621"/>
    </row>
    <row r="100" spans="1:9" ht="12.3">
      <c r="A100" s="27"/>
      <c r="B100" s="27"/>
      <c r="C100" s="1219" t="s">
        <v>275</v>
      </c>
      <c r="D100" s="1214" t="s">
        <v>276</v>
      </c>
      <c r="E100" s="478"/>
      <c r="F100" s="602">
        <f t="shared" si="8"/>
        <v>0</v>
      </c>
      <c r="G100" s="621"/>
    </row>
    <row r="101" spans="1:9" ht="20.399999999999999">
      <c r="A101" s="27"/>
      <c r="B101" s="27"/>
      <c r="C101" s="1219" t="s">
        <v>277</v>
      </c>
      <c r="D101" s="1214" t="s">
        <v>278</v>
      </c>
      <c r="E101" s="478"/>
      <c r="F101" s="602">
        <f t="shared" si="8"/>
        <v>0</v>
      </c>
      <c r="G101" s="621"/>
    </row>
    <row r="102" spans="1:9" ht="20.399999999999999">
      <c r="A102" s="27"/>
      <c r="B102" s="27"/>
      <c r="C102" s="1219" t="s">
        <v>279</v>
      </c>
      <c r="D102" s="1214" t="s">
        <v>280</v>
      </c>
      <c r="E102" s="478"/>
      <c r="F102" s="602">
        <f t="shared" si="8"/>
        <v>0</v>
      </c>
      <c r="G102" s="621"/>
    </row>
    <row r="103" spans="1:9" ht="12.3">
      <c r="A103" s="27"/>
      <c r="B103" s="27"/>
      <c r="C103" s="1219" t="s">
        <v>281</v>
      </c>
      <c r="D103" s="1214" t="s">
        <v>282</v>
      </c>
      <c r="E103" s="478"/>
      <c r="F103" s="602">
        <f t="shared" si="8"/>
        <v>0</v>
      </c>
      <c r="G103" s="621"/>
    </row>
    <row r="104" spans="1:9" ht="20.399999999999999">
      <c r="A104" s="27"/>
      <c r="B104" s="27"/>
      <c r="C104" s="1219" t="s">
        <v>283</v>
      </c>
      <c r="D104" s="1214" t="s">
        <v>284</v>
      </c>
      <c r="E104" s="478"/>
      <c r="F104" s="602">
        <f t="shared" si="8"/>
        <v>0</v>
      </c>
      <c r="G104" s="621"/>
    </row>
    <row r="105" spans="1:9" ht="40.799999999999997">
      <c r="A105" s="27"/>
      <c r="B105" s="27"/>
      <c r="C105" s="1223" t="s">
        <v>867</v>
      </c>
      <c r="D105" s="1214" t="s">
        <v>285</v>
      </c>
      <c r="E105" s="478"/>
      <c r="F105" s="602">
        <f t="shared" si="8"/>
        <v>0</v>
      </c>
      <c r="G105" s="621"/>
    </row>
    <row r="106" spans="1:9" s="1048" customFormat="1" ht="12.3">
      <c r="A106" s="27"/>
      <c r="B106" s="27"/>
      <c r="C106" s="1223"/>
      <c r="D106" s="1214"/>
      <c r="E106" s="478"/>
      <c r="F106" s="602">
        <f t="shared" si="8"/>
        <v>0</v>
      </c>
      <c r="G106" s="621"/>
      <c r="H106" s="1047"/>
      <c r="I106" s="1047"/>
    </row>
    <row r="107" spans="1:9" s="1048" customFormat="1" ht="12.3">
      <c r="A107" s="27"/>
      <c r="B107" s="27"/>
      <c r="C107" s="1223"/>
      <c r="D107" s="1214"/>
      <c r="E107" s="478"/>
      <c r="F107" s="602">
        <f t="shared" si="8"/>
        <v>0</v>
      </c>
      <c r="G107" s="621"/>
      <c r="H107" s="1047"/>
      <c r="I107" s="1047"/>
    </row>
    <row r="108" spans="1:9" s="1048" customFormat="1" ht="12.3">
      <c r="A108" s="27"/>
      <c r="B108" s="27"/>
      <c r="C108" s="1223"/>
      <c r="D108" s="1214"/>
      <c r="E108" s="478"/>
      <c r="F108" s="602">
        <f t="shared" si="8"/>
        <v>0</v>
      </c>
      <c r="G108" s="621"/>
      <c r="H108" s="1047"/>
      <c r="I108" s="1047"/>
    </row>
    <row r="109" spans="1:9" ht="12.3">
      <c r="A109" s="27"/>
      <c r="B109" s="27"/>
      <c r="C109" s="616" t="s">
        <v>286</v>
      </c>
      <c r="D109" s="617"/>
      <c r="E109" s="618"/>
      <c r="F109" s="619"/>
      <c r="G109" s="620"/>
    </row>
    <row r="110" spans="1:9" ht="30.6">
      <c r="A110" s="27"/>
      <c r="B110" s="27"/>
      <c r="C110" s="1219" t="s">
        <v>287</v>
      </c>
      <c r="D110" s="1214" t="s">
        <v>288</v>
      </c>
      <c r="E110" s="478"/>
      <c r="F110" s="602">
        <f t="shared" ref="F110:F123" si="9">IF(E110="TBD", 0, IF($F$4=0, "", E110/$F$4))</f>
        <v>0</v>
      </c>
      <c r="G110" s="621"/>
    </row>
    <row r="111" spans="1:9" ht="30.6">
      <c r="A111" s="27"/>
      <c r="B111" s="27"/>
      <c r="C111" s="1219" t="s">
        <v>290</v>
      </c>
      <c r="D111" s="1214" t="s">
        <v>291</v>
      </c>
      <c r="E111" s="478"/>
      <c r="F111" s="602">
        <f t="shared" si="9"/>
        <v>0</v>
      </c>
      <c r="G111" s="621"/>
    </row>
    <row r="112" spans="1:9" ht="51">
      <c r="A112" s="27"/>
      <c r="B112" s="27"/>
      <c r="C112" s="1219" t="s">
        <v>292</v>
      </c>
      <c r="D112" s="1214" t="s">
        <v>293</v>
      </c>
      <c r="E112" s="478"/>
      <c r="F112" s="602">
        <f t="shared" si="9"/>
        <v>0</v>
      </c>
      <c r="G112" s="621"/>
    </row>
    <row r="113" spans="1:9" ht="12.3">
      <c r="A113" s="27"/>
      <c r="B113" s="27"/>
      <c r="C113" s="1219" t="s">
        <v>294</v>
      </c>
      <c r="D113" s="1214" t="s">
        <v>295</v>
      </c>
      <c r="E113" s="478"/>
      <c r="F113" s="602">
        <f t="shared" si="9"/>
        <v>0</v>
      </c>
      <c r="G113" s="621"/>
    </row>
    <row r="114" spans="1:9" ht="12.3">
      <c r="A114" s="27"/>
      <c r="B114" s="27"/>
      <c r="C114" s="1219" t="s">
        <v>296</v>
      </c>
      <c r="D114" s="1214" t="s">
        <v>297</v>
      </c>
      <c r="E114" s="478"/>
      <c r="F114" s="602">
        <f t="shared" si="9"/>
        <v>0</v>
      </c>
      <c r="G114" s="621"/>
    </row>
    <row r="115" spans="1:9" ht="12.3">
      <c r="A115" s="27"/>
      <c r="B115" s="27"/>
      <c r="C115" s="1219" t="s">
        <v>298</v>
      </c>
      <c r="D115" s="1214" t="s">
        <v>299</v>
      </c>
      <c r="E115" s="478"/>
      <c r="F115" s="602">
        <f t="shared" si="9"/>
        <v>0</v>
      </c>
      <c r="G115" s="621"/>
    </row>
    <row r="116" spans="1:9" ht="12.3">
      <c r="A116" s="27"/>
      <c r="B116" s="27"/>
      <c r="C116" s="1215" t="s">
        <v>300</v>
      </c>
      <c r="D116" s="1214" t="s">
        <v>301</v>
      </c>
      <c r="E116" s="478"/>
      <c r="F116" s="602">
        <f t="shared" si="9"/>
        <v>0</v>
      </c>
      <c r="G116" s="621"/>
    </row>
    <row r="117" spans="1:9" ht="12.3">
      <c r="A117" s="27"/>
      <c r="B117" s="27"/>
      <c r="C117" s="1219" t="s">
        <v>302</v>
      </c>
      <c r="D117" s="1214" t="s">
        <v>303</v>
      </c>
      <c r="E117" s="478"/>
      <c r="F117" s="602">
        <f t="shared" si="9"/>
        <v>0</v>
      </c>
      <c r="G117" s="621"/>
    </row>
    <row r="118" spans="1:9" ht="20.399999999999999">
      <c r="A118" s="27"/>
      <c r="B118" s="27"/>
      <c r="C118" s="1219" t="s">
        <v>304</v>
      </c>
      <c r="D118" s="1214" t="s">
        <v>305</v>
      </c>
      <c r="E118" s="478"/>
      <c r="F118" s="602">
        <f t="shared" si="9"/>
        <v>0</v>
      </c>
      <c r="G118" s="621"/>
    </row>
    <row r="119" spans="1:9" ht="20.399999999999999">
      <c r="A119" s="27"/>
      <c r="B119" s="27"/>
      <c r="C119" s="1219" t="s">
        <v>306</v>
      </c>
      <c r="D119" s="1214" t="s">
        <v>307</v>
      </c>
      <c r="E119" s="478"/>
      <c r="F119" s="602">
        <f t="shared" si="9"/>
        <v>0</v>
      </c>
      <c r="G119" s="621"/>
    </row>
    <row r="120" spans="1:9" ht="20.399999999999999">
      <c r="A120" s="27"/>
      <c r="B120" s="27"/>
      <c r="C120" s="1219" t="s">
        <v>308</v>
      </c>
      <c r="D120" s="1214" t="s">
        <v>309</v>
      </c>
      <c r="E120" s="478"/>
      <c r="F120" s="602">
        <f t="shared" si="9"/>
        <v>0</v>
      </c>
      <c r="G120" s="621"/>
    </row>
    <row r="121" spans="1:9" s="1048" customFormat="1" ht="12.3">
      <c r="A121" s="27"/>
      <c r="B121" s="27"/>
      <c r="C121" s="1219"/>
      <c r="D121" s="1214"/>
      <c r="E121" s="478"/>
      <c r="F121" s="602">
        <f t="shared" si="9"/>
        <v>0</v>
      </c>
      <c r="G121" s="621"/>
      <c r="H121" s="1047"/>
      <c r="I121" s="1047"/>
    </row>
    <row r="122" spans="1:9" s="1048" customFormat="1" ht="12.3">
      <c r="A122" s="27"/>
      <c r="B122" s="27"/>
      <c r="C122" s="1219"/>
      <c r="D122" s="1214"/>
      <c r="E122" s="478"/>
      <c r="F122" s="602">
        <f t="shared" si="9"/>
        <v>0</v>
      </c>
      <c r="G122" s="621"/>
      <c r="H122" s="1047"/>
      <c r="I122" s="1047"/>
    </row>
    <row r="123" spans="1:9" s="1048" customFormat="1" ht="12.3">
      <c r="A123" s="27"/>
      <c r="B123" s="27"/>
      <c r="C123" s="1219"/>
      <c r="D123" s="1214"/>
      <c r="E123" s="478"/>
      <c r="F123" s="602">
        <f t="shared" si="9"/>
        <v>0</v>
      </c>
      <c r="G123" s="621"/>
      <c r="H123" s="1047"/>
      <c r="I123" s="1047"/>
    </row>
    <row r="124" spans="1:9" ht="12.3">
      <c r="A124" s="27"/>
      <c r="B124" s="27"/>
      <c r="C124" s="616" t="s">
        <v>310</v>
      </c>
      <c r="D124" s="617"/>
      <c r="E124" s="618"/>
      <c r="F124" s="619"/>
      <c r="G124" s="620"/>
    </row>
    <row r="125" spans="1:9" ht="30.6">
      <c r="A125" s="27"/>
      <c r="B125" s="27"/>
      <c r="C125" s="1219" t="s">
        <v>311</v>
      </c>
      <c r="D125" s="1214" t="s">
        <v>312</v>
      </c>
      <c r="E125" s="478"/>
      <c r="F125" s="602">
        <f t="shared" ref="F125:F133" si="10">IF(E125="TBD", 0, IF($F$4=0, "", E125/$F$4))</f>
        <v>0</v>
      </c>
      <c r="G125" s="621"/>
    </row>
    <row r="126" spans="1:9" ht="20.399999999999999">
      <c r="A126" s="27"/>
      <c r="B126" s="27"/>
      <c r="C126" s="1215" t="s">
        <v>313</v>
      </c>
      <c r="D126" s="1214" t="s">
        <v>314</v>
      </c>
      <c r="E126" s="478"/>
      <c r="F126" s="602">
        <f t="shared" si="10"/>
        <v>0</v>
      </c>
      <c r="G126" s="621"/>
    </row>
    <row r="127" spans="1:9" ht="20.399999999999999">
      <c r="A127" s="27"/>
      <c r="B127" s="27"/>
      <c r="C127" s="1219" t="s">
        <v>315</v>
      </c>
      <c r="D127" s="1214" t="s">
        <v>316</v>
      </c>
      <c r="E127" s="478"/>
      <c r="F127" s="602">
        <f t="shared" si="10"/>
        <v>0</v>
      </c>
      <c r="G127" s="621"/>
    </row>
    <row r="128" spans="1:9" ht="30.6">
      <c r="A128" s="27"/>
      <c r="B128" s="27"/>
      <c r="C128" s="1219" t="s">
        <v>317</v>
      </c>
      <c r="D128" s="1214" t="s">
        <v>318</v>
      </c>
      <c r="E128" s="478"/>
      <c r="F128" s="602">
        <f t="shared" si="10"/>
        <v>0</v>
      </c>
      <c r="G128" s="621"/>
    </row>
    <row r="129" spans="1:9" ht="14.4">
      <c r="A129" s="27"/>
      <c r="B129" s="27"/>
      <c r="C129" s="1217" t="s">
        <v>319</v>
      </c>
      <c r="D129" s="1218" t="s">
        <v>320</v>
      </c>
      <c r="E129" s="478"/>
      <c r="F129" s="602">
        <f t="shared" si="10"/>
        <v>0</v>
      </c>
      <c r="G129" s="621"/>
    </row>
    <row r="130" spans="1:9" ht="14.4">
      <c r="A130" s="27"/>
      <c r="B130" s="27"/>
      <c r="C130" s="1217" t="s">
        <v>321</v>
      </c>
      <c r="D130" s="1218" t="s">
        <v>322</v>
      </c>
      <c r="E130" s="478"/>
      <c r="F130" s="602">
        <f t="shared" si="10"/>
        <v>0</v>
      </c>
      <c r="G130" s="621"/>
    </row>
    <row r="131" spans="1:9" s="1048" customFormat="1" ht="14.4">
      <c r="A131" s="27"/>
      <c r="B131" s="27"/>
      <c r="C131" s="1217"/>
      <c r="D131" s="1218"/>
      <c r="E131" s="478"/>
      <c r="F131" s="602">
        <f t="shared" si="10"/>
        <v>0</v>
      </c>
      <c r="G131" s="621"/>
      <c r="H131" s="1047"/>
      <c r="I131" s="1047"/>
    </row>
    <row r="132" spans="1:9" s="1048" customFormat="1" ht="14.4">
      <c r="A132" s="27"/>
      <c r="B132" s="27"/>
      <c r="C132" s="1217"/>
      <c r="D132" s="1218"/>
      <c r="E132" s="478"/>
      <c r="F132" s="602">
        <f t="shared" si="10"/>
        <v>0</v>
      </c>
      <c r="G132" s="621"/>
      <c r="H132" s="1047"/>
      <c r="I132" s="1047"/>
    </row>
    <row r="133" spans="1:9" s="1048" customFormat="1" ht="14.4">
      <c r="A133" s="27"/>
      <c r="B133" s="27"/>
      <c r="C133" s="1217"/>
      <c r="D133" s="1218"/>
      <c r="E133" s="478"/>
      <c r="F133" s="602">
        <f t="shared" si="10"/>
        <v>0</v>
      </c>
      <c r="G133" s="621"/>
      <c r="H133" s="1047"/>
      <c r="I133" s="1047"/>
    </row>
    <row r="134" spans="1:9" ht="12.3">
      <c r="A134" s="27"/>
      <c r="B134" s="27"/>
      <c r="C134" s="616" t="s">
        <v>323</v>
      </c>
      <c r="D134" s="617"/>
      <c r="E134" s="618"/>
      <c r="F134" s="619"/>
      <c r="G134" s="620"/>
    </row>
    <row r="135" spans="1:9" ht="20.399999999999999">
      <c r="A135" s="27"/>
      <c r="B135" s="27"/>
      <c r="C135" s="1219" t="s">
        <v>324</v>
      </c>
      <c r="D135" s="1214" t="s">
        <v>325</v>
      </c>
      <c r="E135" s="478"/>
      <c r="F135" s="602">
        <f t="shared" ref="F135:F145" si="11">IF(E135="TBD", 0, IF($F$4=0, "", E135/$F$4))</f>
        <v>0</v>
      </c>
      <c r="G135" s="621"/>
    </row>
    <row r="136" spans="1:9" ht="30.6">
      <c r="A136" s="27"/>
      <c r="B136" s="27"/>
      <c r="C136" s="1219" t="s">
        <v>327</v>
      </c>
      <c r="D136" s="1214" t="s">
        <v>328</v>
      </c>
      <c r="E136" s="478"/>
      <c r="F136" s="602">
        <f t="shared" si="11"/>
        <v>0</v>
      </c>
      <c r="G136" s="621"/>
    </row>
    <row r="137" spans="1:9" ht="12.3">
      <c r="A137" s="27"/>
      <c r="B137" s="27"/>
      <c r="C137" s="1219" t="s">
        <v>330</v>
      </c>
      <c r="D137" s="1214" t="s">
        <v>331</v>
      </c>
      <c r="E137" s="478"/>
      <c r="F137" s="602">
        <f t="shared" si="11"/>
        <v>0</v>
      </c>
      <c r="G137" s="621"/>
    </row>
    <row r="138" spans="1:9" ht="20.399999999999999">
      <c r="A138" s="27"/>
      <c r="B138" s="27"/>
      <c r="C138" s="1219" t="s">
        <v>332</v>
      </c>
      <c r="D138" s="1214" t="s">
        <v>333</v>
      </c>
      <c r="E138" s="478"/>
      <c r="F138" s="602">
        <f t="shared" si="11"/>
        <v>0</v>
      </c>
      <c r="G138" s="621"/>
    </row>
    <row r="139" spans="1:9" ht="20.399999999999999">
      <c r="A139" s="27"/>
      <c r="B139" s="27"/>
      <c r="C139" s="1219" t="s">
        <v>334</v>
      </c>
      <c r="D139" s="1214" t="s">
        <v>335</v>
      </c>
      <c r="E139" s="478"/>
      <c r="F139" s="602">
        <f t="shared" si="11"/>
        <v>0</v>
      </c>
      <c r="G139" s="621"/>
    </row>
    <row r="140" spans="1:9" ht="12.3">
      <c r="A140" s="27"/>
      <c r="B140" s="27"/>
      <c r="C140" s="1219" t="s">
        <v>336</v>
      </c>
      <c r="D140" s="1214" t="s">
        <v>337</v>
      </c>
      <c r="E140" s="478"/>
      <c r="F140" s="602">
        <f t="shared" si="11"/>
        <v>0</v>
      </c>
      <c r="G140" s="621"/>
    </row>
    <row r="141" spans="1:9" ht="14.4">
      <c r="A141" s="27"/>
      <c r="B141" s="27"/>
      <c r="C141" s="1217" t="s">
        <v>338</v>
      </c>
      <c r="D141" s="1218" t="s">
        <v>339</v>
      </c>
      <c r="E141" s="478"/>
      <c r="F141" s="602">
        <f t="shared" si="11"/>
        <v>0</v>
      </c>
      <c r="G141" s="621"/>
    </row>
    <row r="142" spans="1:9" ht="14.4">
      <c r="A142" s="27"/>
      <c r="B142" s="27"/>
      <c r="C142" s="1217" t="s">
        <v>340</v>
      </c>
      <c r="D142" s="1220" t="s">
        <v>341</v>
      </c>
      <c r="E142" s="478"/>
      <c r="F142" s="602">
        <f t="shared" si="11"/>
        <v>0</v>
      </c>
      <c r="G142" s="621"/>
    </row>
    <row r="143" spans="1:9" s="1048" customFormat="1" ht="14.4">
      <c r="A143" s="27"/>
      <c r="B143" s="27"/>
      <c r="C143" s="1217"/>
      <c r="D143" s="1220"/>
      <c r="E143" s="478"/>
      <c r="F143" s="602">
        <f t="shared" si="11"/>
        <v>0</v>
      </c>
      <c r="G143" s="621"/>
      <c r="H143" s="1047"/>
      <c r="I143" s="1047"/>
    </row>
    <row r="144" spans="1:9" s="1048" customFormat="1" ht="14.4">
      <c r="A144" s="27"/>
      <c r="B144" s="27"/>
      <c r="C144" s="1217"/>
      <c r="D144" s="1220"/>
      <c r="E144" s="478"/>
      <c r="F144" s="602">
        <f t="shared" si="11"/>
        <v>0</v>
      </c>
      <c r="G144" s="621"/>
      <c r="H144" s="1047"/>
      <c r="I144" s="1047"/>
    </row>
    <row r="145" spans="1:9" s="1048" customFormat="1" ht="14.4">
      <c r="A145" s="27"/>
      <c r="B145" s="27"/>
      <c r="C145" s="1217"/>
      <c r="D145" s="1220"/>
      <c r="E145" s="478"/>
      <c r="F145" s="602">
        <f t="shared" si="11"/>
        <v>0</v>
      </c>
      <c r="G145" s="621"/>
      <c r="H145" s="1047"/>
      <c r="I145" s="1047"/>
    </row>
    <row r="146" spans="1:9" ht="12.3">
      <c r="A146" s="27"/>
      <c r="B146" s="27"/>
      <c r="C146" s="616" t="s">
        <v>344</v>
      </c>
      <c r="D146" s="617"/>
      <c r="E146" s="618"/>
      <c r="F146" s="619"/>
      <c r="G146" s="620"/>
    </row>
    <row r="147" spans="1:9" ht="40.799999999999997">
      <c r="A147" s="27"/>
      <c r="B147" s="27"/>
      <c r="C147" s="1219" t="s">
        <v>345</v>
      </c>
      <c r="D147" s="1214" t="s">
        <v>346</v>
      </c>
      <c r="E147" s="478"/>
      <c r="F147" s="602">
        <f t="shared" ref="F147:F162" si="12">IF(E147="TBD", 0, IF($F$4=0, "", E147/$F$4))</f>
        <v>0</v>
      </c>
      <c r="G147" s="621"/>
    </row>
    <row r="148" spans="1:9" ht="14.4">
      <c r="A148" s="27"/>
      <c r="B148" s="27"/>
      <c r="C148" s="1217" t="s">
        <v>348</v>
      </c>
      <c r="D148" s="1218" t="s">
        <v>349</v>
      </c>
      <c r="E148" s="478"/>
      <c r="F148" s="602">
        <f t="shared" si="12"/>
        <v>0</v>
      </c>
      <c r="G148" s="621"/>
    </row>
    <row r="149" spans="1:9" ht="14.4">
      <c r="A149" s="27"/>
      <c r="B149" s="27"/>
      <c r="C149" s="1217" t="s">
        <v>350</v>
      </c>
      <c r="D149" s="1218" t="s">
        <v>351</v>
      </c>
      <c r="E149" s="478"/>
      <c r="F149" s="602">
        <f t="shared" si="12"/>
        <v>0</v>
      </c>
      <c r="G149" s="621"/>
    </row>
    <row r="150" spans="1:9" ht="14.4">
      <c r="A150" s="27"/>
      <c r="B150" s="27"/>
      <c r="C150" s="1217" t="s">
        <v>352</v>
      </c>
      <c r="D150" s="1218" t="s">
        <v>353</v>
      </c>
      <c r="E150" s="478"/>
      <c r="F150" s="602">
        <f t="shared" si="12"/>
        <v>0</v>
      </c>
      <c r="G150" s="621"/>
    </row>
    <row r="151" spans="1:9" ht="14.4">
      <c r="A151" s="27"/>
      <c r="B151" s="27"/>
      <c r="C151" s="1217" t="s">
        <v>355</v>
      </c>
      <c r="D151" s="1218" t="s">
        <v>353</v>
      </c>
      <c r="E151" s="478"/>
      <c r="F151" s="602">
        <f t="shared" si="12"/>
        <v>0</v>
      </c>
      <c r="G151" s="621"/>
    </row>
    <row r="152" spans="1:9" ht="14.4">
      <c r="A152" s="27"/>
      <c r="B152" s="27"/>
      <c r="C152" s="1217" t="s">
        <v>356</v>
      </c>
      <c r="D152" s="1218" t="s">
        <v>353</v>
      </c>
      <c r="E152" s="478"/>
      <c r="F152" s="602">
        <f t="shared" si="12"/>
        <v>0</v>
      </c>
      <c r="G152" s="621"/>
    </row>
    <row r="153" spans="1:9" ht="14.4">
      <c r="A153" s="27"/>
      <c r="B153" s="27"/>
      <c r="C153" s="1217" t="s">
        <v>357</v>
      </c>
      <c r="D153" s="1218" t="s">
        <v>353</v>
      </c>
      <c r="E153" s="478"/>
      <c r="F153" s="602">
        <f t="shared" si="12"/>
        <v>0</v>
      </c>
      <c r="G153" s="621"/>
    </row>
    <row r="154" spans="1:9" ht="14.4">
      <c r="A154" s="27"/>
      <c r="B154" s="27"/>
      <c r="C154" s="1217" t="s">
        <v>358</v>
      </c>
      <c r="D154" s="1218" t="s">
        <v>359</v>
      </c>
      <c r="E154" s="478"/>
      <c r="F154" s="602">
        <f t="shared" si="12"/>
        <v>0</v>
      </c>
      <c r="G154" s="621"/>
    </row>
    <row r="155" spans="1:9" ht="14.4">
      <c r="A155" s="27"/>
      <c r="B155" s="27"/>
      <c r="C155" s="1217" t="s">
        <v>360</v>
      </c>
      <c r="D155" s="1218" t="s">
        <v>361</v>
      </c>
      <c r="E155" s="478"/>
      <c r="F155" s="602">
        <f t="shared" si="12"/>
        <v>0</v>
      </c>
      <c r="G155" s="621"/>
    </row>
    <row r="156" spans="1:9" ht="14.4">
      <c r="A156" s="27"/>
      <c r="B156" s="27"/>
      <c r="C156" s="1217" t="s">
        <v>362</v>
      </c>
      <c r="D156" s="1218" t="s">
        <v>363</v>
      </c>
      <c r="E156" s="478"/>
      <c r="F156" s="602">
        <f t="shared" si="12"/>
        <v>0</v>
      </c>
      <c r="G156" s="621"/>
    </row>
    <row r="157" spans="1:9" ht="14.4">
      <c r="A157" s="27"/>
      <c r="B157" s="27"/>
      <c r="C157" s="1217" t="s">
        <v>364</v>
      </c>
      <c r="D157" s="1218" t="s">
        <v>365</v>
      </c>
      <c r="E157" s="478"/>
      <c r="F157" s="602">
        <f t="shared" si="12"/>
        <v>0</v>
      </c>
      <c r="G157" s="621"/>
    </row>
    <row r="158" spans="1:9" ht="14.4">
      <c r="A158" s="27"/>
      <c r="B158" s="27"/>
      <c r="C158" s="1217" t="s">
        <v>366</v>
      </c>
      <c r="D158" s="1218" t="s">
        <v>367</v>
      </c>
      <c r="E158" s="478"/>
      <c r="F158" s="602">
        <f t="shared" si="12"/>
        <v>0</v>
      </c>
      <c r="G158" s="621"/>
    </row>
    <row r="159" spans="1:9" s="1048" customFormat="1" ht="14.4">
      <c r="A159" s="27"/>
      <c r="B159" s="27"/>
      <c r="C159" s="1217"/>
      <c r="D159" s="1218"/>
      <c r="E159" s="478"/>
      <c r="F159" s="602">
        <f t="shared" si="12"/>
        <v>0</v>
      </c>
      <c r="G159" s="621"/>
      <c r="H159" s="1047"/>
      <c r="I159" s="1047"/>
    </row>
    <row r="160" spans="1:9" s="1048" customFormat="1" ht="14.4">
      <c r="A160" s="27"/>
      <c r="B160" s="27"/>
      <c r="C160" s="1217"/>
      <c r="D160" s="1218"/>
      <c r="E160" s="478"/>
      <c r="F160" s="602">
        <f t="shared" si="12"/>
        <v>0</v>
      </c>
      <c r="G160" s="621"/>
      <c r="H160" s="1047"/>
      <c r="I160" s="1047"/>
    </row>
    <row r="161" spans="1:9" s="1048" customFormat="1" ht="14.4">
      <c r="A161" s="27"/>
      <c r="B161" s="27"/>
      <c r="C161" s="1217"/>
      <c r="D161" s="1218"/>
      <c r="E161" s="478"/>
      <c r="F161" s="602">
        <f t="shared" si="12"/>
        <v>0</v>
      </c>
      <c r="G161" s="621"/>
      <c r="H161" s="1047"/>
      <c r="I161" s="1047"/>
    </row>
    <row r="162" spans="1:9" s="1048" customFormat="1" ht="14.4">
      <c r="A162" s="27"/>
      <c r="B162" s="27"/>
      <c r="C162" s="1217"/>
      <c r="D162" s="1218"/>
      <c r="E162" s="478"/>
      <c r="F162" s="602">
        <f t="shared" si="12"/>
        <v>0</v>
      </c>
      <c r="G162" s="621"/>
      <c r="H162" s="1047"/>
      <c r="I162" s="1047"/>
    </row>
    <row r="163" spans="1:9" ht="12.3">
      <c r="A163" s="27"/>
      <c r="B163" s="27"/>
      <c r="C163" s="622" t="s">
        <v>368</v>
      </c>
      <c r="D163" s="617" t="s">
        <v>369</v>
      </c>
      <c r="E163" s="618"/>
      <c r="F163" s="619"/>
      <c r="G163" s="620"/>
    </row>
    <row r="164" spans="1:9" ht="20.399999999999999">
      <c r="A164" s="27"/>
      <c r="B164" s="27"/>
      <c r="C164" s="1217" t="s">
        <v>370</v>
      </c>
      <c r="D164" s="1218" t="s">
        <v>371</v>
      </c>
      <c r="E164" s="478"/>
      <c r="F164" s="602">
        <f t="shared" ref="F164:F180" si="13">IF(E164="TBD", 0, IF($F$4=0, "", E164/$F$4))</f>
        <v>0</v>
      </c>
      <c r="G164" s="621"/>
    </row>
    <row r="165" spans="1:9" ht="12.3">
      <c r="A165" s="27"/>
      <c r="B165" s="27"/>
      <c r="C165" s="1215" t="s">
        <v>372</v>
      </c>
      <c r="D165" s="1214"/>
      <c r="E165" s="478"/>
      <c r="F165" s="602">
        <f t="shared" si="13"/>
        <v>0</v>
      </c>
      <c r="G165" s="621"/>
    </row>
    <row r="166" spans="1:9" ht="30.6">
      <c r="A166" s="27"/>
      <c r="B166" s="27"/>
      <c r="C166" s="1217" t="s">
        <v>373</v>
      </c>
      <c r="D166" s="1218" t="s">
        <v>374</v>
      </c>
      <c r="E166" s="478"/>
      <c r="F166" s="602">
        <f t="shared" si="13"/>
        <v>0</v>
      </c>
      <c r="G166" s="621"/>
    </row>
    <row r="167" spans="1:9" ht="20.399999999999999">
      <c r="A167" s="27"/>
      <c r="B167" s="27"/>
      <c r="C167" s="1217" t="s">
        <v>375</v>
      </c>
      <c r="D167" s="1218" t="s">
        <v>376</v>
      </c>
      <c r="E167" s="478"/>
      <c r="F167" s="602">
        <f t="shared" si="13"/>
        <v>0</v>
      </c>
      <c r="G167" s="621"/>
    </row>
    <row r="168" spans="1:9" ht="14.4">
      <c r="A168" s="27"/>
      <c r="B168" s="27"/>
      <c r="C168" s="1217" t="s">
        <v>377</v>
      </c>
      <c r="D168" s="1218" t="s">
        <v>378</v>
      </c>
      <c r="E168" s="478"/>
      <c r="F168" s="602">
        <f t="shared" si="13"/>
        <v>0</v>
      </c>
      <c r="G168" s="621"/>
    </row>
    <row r="169" spans="1:9" ht="20.399999999999999">
      <c r="A169" s="27"/>
      <c r="B169" s="27"/>
      <c r="C169" s="1217" t="s">
        <v>379</v>
      </c>
      <c r="D169" s="1218" t="s">
        <v>380</v>
      </c>
      <c r="E169" s="478"/>
      <c r="F169" s="602">
        <f t="shared" si="13"/>
        <v>0</v>
      </c>
      <c r="G169" s="621"/>
    </row>
    <row r="170" spans="1:9" ht="20.399999999999999">
      <c r="A170" s="27"/>
      <c r="B170" s="27"/>
      <c r="C170" s="1217" t="s">
        <v>381</v>
      </c>
      <c r="D170" s="1218" t="s">
        <v>382</v>
      </c>
      <c r="E170" s="478"/>
      <c r="F170" s="602">
        <f t="shared" si="13"/>
        <v>0</v>
      </c>
      <c r="G170" s="621"/>
    </row>
    <row r="171" spans="1:9" ht="14.4">
      <c r="A171" s="27"/>
      <c r="B171" s="27"/>
      <c r="C171" s="1217" t="s">
        <v>383</v>
      </c>
      <c r="D171" s="1218" t="s">
        <v>384</v>
      </c>
      <c r="E171" s="478"/>
      <c r="F171" s="602">
        <f t="shared" si="13"/>
        <v>0</v>
      </c>
      <c r="G171" s="621"/>
    </row>
    <row r="172" spans="1:9" ht="14.4">
      <c r="A172" s="27"/>
      <c r="B172" s="27"/>
      <c r="C172" s="1217" t="s">
        <v>385</v>
      </c>
      <c r="D172" s="1220" t="s">
        <v>386</v>
      </c>
      <c r="E172" s="478"/>
      <c r="F172" s="602">
        <f t="shared" si="13"/>
        <v>0</v>
      </c>
      <c r="G172" s="621"/>
    </row>
    <row r="173" spans="1:9" ht="14.4">
      <c r="A173" s="27"/>
      <c r="B173" s="27"/>
      <c r="C173" s="1217" t="s">
        <v>387</v>
      </c>
      <c r="D173" s="1218" t="s">
        <v>388</v>
      </c>
      <c r="E173" s="478"/>
      <c r="F173" s="602">
        <f t="shared" si="13"/>
        <v>0</v>
      </c>
      <c r="G173" s="621"/>
    </row>
    <row r="174" spans="1:9" ht="14.4">
      <c r="A174" s="27"/>
      <c r="B174" s="27"/>
      <c r="C174" s="1217" t="s">
        <v>389</v>
      </c>
      <c r="D174" s="1218" t="s">
        <v>390</v>
      </c>
      <c r="E174" s="478"/>
      <c r="F174" s="602">
        <f t="shared" si="13"/>
        <v>0</v>
      </c>
      <c r="G174" s="621"/>
    </row>
    <row r="175" spans="1:9" ht="14.4">
      <c r="A175" s="27"/>
      <c r="B175" s="27"/>
      <c r="C175" s="1217" t="s">
        <v>391</v>
      </c>
      <c r="D175" s="1218" t="s">
        <v>392</v>
      </c>
      <c r="E175" s="478"/>
      <c r="F175" s="602">
        <f t="shared" si="13"/>
        <v>0</v>
      </c>
      <c r="G175" s="621"/>
    </row>
    <row r="176" spans="1:9" ht="20.399999999999999">
      <c r="A176" s="27"/>
      <c r="B176" s="27"/>
      <c r="C176" s="1217" t="s">
        <v>393</v>
      </c>
      <c r="D176" s="1218" t="s">
        <v>394</v>
      </c>
      <c r="E176" s="478"/>
      <c r="F176" s="602">
        <f t="shared" si="13"/>
        <v>0</v>
      </c>
      <c r="G176" s="621"/>
    </row>
    <row r="177" spans="1:9" s="1048" customFormat="1" ht="14.4">
      <c r="A177" s="27"/>
      <c r="B177" s="27"/>
      <c r="C177" s="1217"/>
      <c r="D177" s="1218"/>
      <c r="E177" s="478"/>
      <c r="F177" s="602">
        <f t="shared" si="13"/>
        <v>0</v>
      </c>
      <c r="G177" s="621"/>
      <c r="H177" s="1047"/>
      <c r="I177" s="1047"/>
    </row>
    <row r="178" spans="1:9" s="1048" customFormat="1" ht="14.4">
      <c r="A178" s="27"/>
      <c r="B178" s="27"/>
      <c r="C178" s="1217"/>
      <c r="D178" s="1218"/>
      <c r="E178" s="478"/>
      <c r="F178" s="602">
        <f t="shared" si="13"/>
        <v>0</v>
      </c>
      <c r="G178" s="621"/>
      <c r="H178" s="1047"/>
      <c r="I178" s="1047"/>
    </row>
    <row r="179" spans="1:9" s="1048" customFormat="1" ht="14.4">
      <c r="A179" s="27"/>
      <c r="B179" s="27"/>
      <c r="C179" s="1217"/>
      <c r="D179" s="1218"/>
      <c r="E179" s="478"/>
      <c r="F179" s="602">
        <f t="shared" si="13"/>
        <v>0</v>
      </c>
      <c r="G179" s="621"/>
      <c r="H179" s="1047"/>
      <c r="I179" s="1047"/>
    </row>
    <row r="180" spans="1:9" s="1048" customFormat="1" ht="14.4">
      <c r="A180" s="27"/>
      <c r="B180" s="27"/>
      <c r="C180" s="1217"/>
      <c r="D180" s="1218"/>
      <c r="E180" s="478"/>
      <c r="F180" s="602">
        <f t="shared" si="13"/>
        <v>0</v>
      </c>
      <c r="G180" s="621"/>
      <c r="H180" s="1047"/>
      <c r="I180" s="1047"/>
    </row>
    <row r="181" spans="1:9" ht="12.3">
      <c r="A181" s="27"/>
      <c r="B181" s="27"/>
      <c r="C181" s="616" t="s">
        <v>395</v>
      </c>
      <c r="D181" s="617"/>
      <c r="E181" s="618"/>
      <c r="F181" s="619"/>
      <c r="G181" s="620"/>
    </row>
    <row r="182" spans="1:9" ht="14.4">
      <c r="A182" s="27"/>
      <c r="B182" s="27"/>
      <c r="C182" s="1217" t="s">
        <v>396</v>
      </c>
      <c r="D182" s="1218" t="s">
        <v>397</v>
      </c>
      <c r="E182" s="478"/>
      <c r="F182" s="602">
        <f t="shared" ref="F182:F197" si="14">IF(E182="TBD", 0, IF($F$4=0, "", E182/$F$4))</f>
        <v>0</v>
      </c>
      <c r="G182" s="621"/>
    </row>
    <row r="183" spans="1:9" ht="14.4">
      <c r="A183" s="27"/>
      <c r="B183" s="27"/>
      <c r="C183" s="1217" t="s">
        <v>399</v>
      </c>
      <c r="D183" s="1218" t="s">
        <v>400</v>
      </c>
      <c r="E183" s="478"/>
      <c r="F183" s="602">
        <f t="shared" si="14"/>
        <v>0</v>
      </c>
      <c r="G183" s="621"/>
    </row>
    <row r="184" spans="1:9" ht="14.4">
      <c r="A184" s="27"/>
      <c r="B184" s="27"/>
      <c r="C184" s="1217" t="s">
        <v>401</v>
      </c>
      <c r="D184" s="1218" t="s">
        <v>402</v>
      </c>
      <c r="E184" s="478"/>
      <c r="F184" s="602">
        <f t="shared" si="14"/>
        <v>0</v>
      </c>
      <c r="G184" s="621"/>
    </row>
    <row r="185" spans="1:9" ht="20.399999999999999">
      <c r="A185" s="27"/>
      <c r="B185" s="27"/>
      <c r="C185" s="1217" t="s">
        <v>403</v>
      </c>
      <c r="D185" s="1218" t="s">
        <v>404</v>
      </c>
      <c r="E185" s="478"/>
      <c r="F185" s="602">
        <f t="shared" si="14"/>
        <v>0</v>
      </c>
      <c r="G185" s="621"/>
    </row>
    <row r="186" spans="1:9" ht="14.4">
      <c r="A186" s="27"/>
      <c r="B186" s="27"/>
      <c r="C186" s="1217" t="s">
        <v>405</v>
      </c>
      <c r="D186" s="1218" t="s">
        <v>406</v>
      </c>
      <c r="E186" s="478"/>
      <c r="F186" s="602">
        <f t="shared" si="14"/>
        <v>0</v>
      </c>
      <c r="G186" s="621"/>
    </row>
    <row r="187" spans="1:9" ht="20.399999999999999">
      <c r="A187" s="27"/>
      <c r="B187" s="27"/>
      <c r="C187" s="1217" t="s">
        <v>407</v>
      </c>
      <c r="D187" s="1218" t="s">
        <v>408</v>
      </c>
      <c r="E187" s="478"/>
      <c r="F187" s="602">
        <f t="shared" si="14"/>
        <v>0</v>
      </c>
      <c r="G187" s="621"/>
    </row>
    <row r="188" spans="1:9" ht="20.399999999999999">
      <c r="A188" s="27"/>
      <c r="B188" s="27"/>
      <c r="C188" s="1217" t="s">
        <v>409</v>
      </c>
      <c r="D188" s="1218" t="s">
        <v>410</v>
      </c>
      <c r="E188" s="478"/>
      <c r="F188" s="602">
        <f t="shared" si="14"/>
        <v>0</v>
      </c>
      <c r="G188" s="621"/>
    </row>
    <row r="189" spans="1:9" ht="14.4">
      <c r="A189" s="27"/>
      <c r="B189" s="27"/>
      <c r="C189" s="1217" t="s">
        <v>411</v>
      </c>
      <c r="D189" s="1220" t="s">
        <v>412</v>
      </c>
      <c r="E189" s="478"/>
      <c r="F189" s="602">
        <f t="shared" si="14"/>
        <v>0</v>
      </c>
      <c r="G189" s="621"/>
    </row>
    <row r="190" spans="1:9" ht="14.4">
      <c r="A190" s="27"/>
      <c r="B190" s="27"/>
      <c r="C190" s="1217" t="s">
        <v>413</v>
      </c>
      <c r="D190" s="1218" t="s">
        <v>414</v>
      </c>
      <c r="E190" s="478"/>
      <c r="F190" s="602">
        <f t="shared" si="14"/>
        <v>0</v>
      </c>
      <c r="G190" s="621"/>
    </row>
    <row r="191" spans="1:9" ht="20.399999999999999">
      <c r="A191" s="27"/>
      <c r="B191" s="27"/>
      <c r="C191" s="1217" t="s">
        <v>415</v>
      </c>
      <c r="D191" s="1220" t="s">
        <v>416</v>
      </c>
      <c r="E191" s="478"/>
      <c r="F191" s="602">
        <f t="shared" si="14"/>
        <v>0</v>
      </c>
      <c r="G191" s="621"/>
    </row>
    <row r="192" spans="1:9" ht="14.4">
      <c r="A192" s="27"/>
      <c r="B192" s="27"/>
      <c r="C192" s="1217" t="s">
        <v>417</v>
      </c>
      <c r="D192" s="1218" t="s">
        <v>418</v>
      </c>
      <c r="E192" s="478"/>
      <c r="F192" s="602">
        <f t="shared" si="14"/>
        <v>0</v>
      </c>
      <c r="G192" s="621"/>
    </row>
    <row r="193" spans="1:9" ht="20.399999999999999">
      <c r="A193" s="27"/>
      <c r="B193" s="27"/>
      <c r="C193" s="1217" t="s">
        <v>420</v>
      </c>
      <c r="D193" s="1218" t="s">
        <v>421</v>
      </c>
      <c r="E193" s="478"/>
      <c r="F193" s="602">
        <f t="shared" si="14"/>
        <v>0</v>
      </c>
      <c r="G193" s="621"/>
    </row>
    <row r="194" spans="1:9" s="1048" customFormat="1" ht="14.4">
      <c r="A194" s="27"/>
      <c r="B194" s="27"/>
      <c r="C194" s="1217"/>
      <c r="D194" s="1218"/>
      <c r="E194" s="478"/>
      <c r="F194" s="602">
        <f t="shared" si="14"/>
        <v>0</v>
      </c>
      <c r="G194" s="621"/>
      <c r="H194" s="1047"/>
      <c r="I194" s="1047"/>
    </row>
    <row r="195" spans="1:9" s="1048" customFormat="1" ht="14.4">
      <c r="A195" s="27"/>
      <c r="B195" s="27"/>
      <c r="C195" s="1217"/>
      <c r="D195" s="1218"/>
      <c r="E195" s="478"/>
      <c r="F195" s="602">
        <f t="shared" si="14"/>
        <v>0</v>
      </c>
      <c r="G195" s="621"/>
      <c r="H195" s="1047"/>
      <c r="I195" s="1047"/>
    </row>
    <row r="196" spans="1:9" s="1048" customFormat="1" ht="14.4">
      <c r="A196" s="27"/>
      <c r="B196" s="27"/>
      <c r="C196" s="1217"/>
      <c r="D196" s="1218"/>
      <c r="E196" s="478"/>
      <c r="F196" s="602">
        <f t="shared" si="14"/>
        <v>0</v>
      </c>
      <c r="G196" s="621"/>
      <c r="H196" s="1047"/>
      <c r="I196" s="1047"/>
    </row>
    <row r="197" spans="1:9" s="1048" customFormat="1" ht="14.4">
      <c r="A197" s="27"/>
      <c r="B197" s="27"/>
      <c r="C197" s="1217"/>
      <c r="D197" s="1218"/>
      <c r="E197" s="478"/>
      <c r="F197" s="602">
        <f t="shared" si="14"/>
        <v>0</v>
      </c>
      <c r="G197" s="621"/>
      <c r="H197" s="1047"/>
      <c r="I197" s="1047"/>
    </row>
    <row r="198" spans="1:9" ht="12.3">
      <c r="A198" s="27"/>
      <c r="B198" s="27"/>
      <c r="C198" s="622" t="s">
        <v>57</v>
      </c>
      <c r="D198" s="617"/>
      <c r="E198" s="618"/>
      <c r="F198" s="619"/>
      <c r="G198" s="620"/>
    </row>
    <row r="199" spans="1:9" ht="14.4">
      <c r="A199" s="27"/>
      <c r="B199" s="27"/>
      <c r="C199" s="1217" t="s">
        <v>422</v>
      </c>
      <c r="D199" s="1218" t="s">
        <v>423</v>
      </c>
      <c r="E199" s="478"/>
      <c r="F199" s="602">
        <f t="shared" ref="F199:F204" si="15">IF(E199="TBD", 0, IF($F$4=0, "", E199/$F$4))</f>
        <v>0</v>
      </c>
      <c r="G199" s="621"/>
    </row>
    <row r="200" spans="1:9" ht="14.4">
      <c r="A200" s="27"/>
      <c r="B200" s="27"/>
      <c r="C200" s="1217" t="s">
        <v>711</v>
      </c>
      <c r="D200" s="1218" t="s">
        <v>428</v>
      </c>
      <c r="E200" s="478"/>
      <c r="F200" s="602">
        <f t="shared" si="15"/>
        <v>0</v>
      </c>
      <c r="G200" s="621"/>
    </row>
    <row r="201" spans="1:9" ht="20.399999999999999">
      <c r="A201" s="27"/>
      <c r="B201" s="27"/>
      <c r="C201" s="1217" t="s">
        <v>430</v>
      </c>
      <c r="D201" s="1218" t="s">
        <v>431</v>
      </c>
      <c r="E201" s="478"/>
      <c r="F201" s="602">
        <f t="shared" si="15"/>
        <v>0</v>
      </c>
      <c r="G201" s="621"/>
    </row>
    <row r="202" spans="1:9" ht="20.399999999999999">
      <c r="A202" s="27"/>
      <c r="B202" s="27"/>
      <c r="C202" s="1217" t="s">
        <v>432</v>
      </c>
      <c r="D202" s="1218" t="s">
        <v>433</v>
      </c>
      <c r="E202" s="478"/>
      <c r="F202" s="602">
        <f t="shared" si="15"/>
        <v>0</v>
      </c>
      <c r="G202" s="621"/>
    </row>
    <row r="203" spans="1:9" ht="14.4">
      <c r="C203" s="1217"/>
      <c r="D203" s="1218"/>
      <c r="E203" s="478"/>
      <c r="F203" s="602">
        <f t="shared" si="15"/>
        <v>0</v>
      </c>
      <c r="G203" s="621"/>
    </row>
    <row r="204" spans="1:9" ht="14.4">
      <c r="C204" s="1217"/>
      <c r="D204" s="1218"/>
      <c r="E204" s="478"/>
      <c r="F204" s="602">
        <f t="shared" si="15"/>
        <v>0</v>
      </c>
      <c r="G204" s="621"/>
    </row>
    <row r="205" spans="1:9" ht="12.3">
      <c r="D205" s="623"/>
      <c r="E205" s="624"/>
    </row>
    <row r="206" spans="1:9" ht="12.3">
      <c r="D206" s="623"/>
      <c r="E206" s="624"/>
    </row>
    <row r="207" spans="1:9" ht="12.3">
      <c r="D207" s="623"/>
      <c r="E207" s="624"/>
    </row>
    <row r="208" spans="1:9" ht="12.3">
      <c r="D208" s="623"/>
      <c r="E208" s="624"/>
    </row>
    <row r="209" spans="4:5" ht="12.3">
      <c r="D209" s="623"/>
      <c r="E209" s="624"/>
    </row>
    <row r="210" spans="4:5" ht="12.3">
      <c r="D210" s="623"/>
      <c r="E210" s="624"/>
    </row>
    <row r="211" spans="4:5" ht="12.3">
      <c r="D211" s="623"/>
      <c r="E211" s="624"/>
    </row>
    <row r="212" spans="4:5" ht="12.3">
      <c r="D212" s="623"/>
      <c r="E212" s="624"/>
    </row>
    <row r="213" spans="4:5" ht="12.3">
      <c r="D213" s="623"/>
      <c r="E213" s="624"/>
    </row>
    <row r="214" spans="4:5" ht="12.3">
      <c r="D214" s="623"/>
      <c r="E214" s="624"/>
    </row>
    <row r="215" spans="4:5" ht="12.3">
      <c r="D215" s="623"/>
      <c r="E215" s="624"/>
    </row>
    <row r="216" spans="4:5" ht="12.3">
      <c r="D216" s="623"/>
      <c r="E216" s="624"/>
    </row>
    <row r="217" spans="4:5" ht="12.3">
      <c r="D217" s="623"/>
      <c r="E217" s="624"/>
    </row>
    <row r="218" spans="4:5" ht="12.3">
      <c r="D218" s="623"/>
      <c r="E218" s="624"/>
    </row>
    <row r="219" spans="4:5" ht="12.3">
      <c r="D219" s="623"/>
      <c r="E219" s="624"/>
    </row>
    <row r="220" spans="4:5" ht="12.3">
      <c r="D220" s="623"/>
      <c r="E220" s="624"/>
    </row>
    <row r="221" spans="4:5" ht="12.3">
      <c r="D221" s="623"/>
      <c r="E221" s="624"/>
    </row>
    <row r="222" spans="4:5" ht="12.3">
      <c r="D222" s="623"/>
      <c r="E222" s="624"/>
    </row>
    <row r="223" spans="4:5" ht="12.3">
      <c r="D223" s="623"/>
      <c r="E223" s="624"/>
    </row>
    <row r="224" spans="4:5" ht="12.3">
      <c r="D224" s="623"/>
      <c r="E224" s="624"/>
    </row>
    <row r="225" spans="1:5" ht="12.3">
      <c r="D225" s="623"/>
      <c r="E225" s="624"/>
    </row>
    <row r="226" spans="1:5" ht="12.3">
      <c r="D226" s="623"/>
      <c r="E226" s="624"/>
    </row>
    <row r="227" spans="1:5" ht="12.3">
      <c r="D227" s="623"/>
      <c r="E227" s="624"/>
    </row>
    <row r="228" spans="1:5" ht="12.3">
      <c r="D228" s="623"/>
      <c r="E228" s="624"/>
    </row>
    <row r="229" spans="1:5" ht="12.3">
      <c r="A229" s="27"/>
      <c r="B229" s="27"/>
      <c r="D229" s="625"/>
      <c r="E229" s="624"/>
    </row>
    <row r="230" spans="1:5" ht="12.3">
      <c r="A230" s="27"/>
      <c r="B230" s="27"/>
      <c r="D230" s="625"/>
      <c r="E230" s="624"/>
    </row>
    <row r="231" spans="1:5" ht="12.3">
      <c r="A231" s="27"/>
      <c r="B231" s="27"/>
      <c r="D231" s="625"/>
      <c r="E231" s="624"/>
    </row>
    <row r="232" spans="1:5" ht="12.3">
      <c r="A232" s="27"/>
      <c r="B232" s="27"/>
      <c r="D232" s="625"/>
      <c r="E232" s="624"/>
    </row>
    <row r="233" spans="1:5" ht="12.3">
      <c r="A233" s="27"/>
      <c r="B233" s="27"/>
      <c r="D233" s="625"/>
      <c r="E233" s="624"/>
    </row>
    <row r="234" spans="1:5" ht="12.3">
      <c r="A234" s="27"/>
      <c r="B234" s="27"/>
      <c r="D234" s="625"/>
      <c r="E234" s="624"/>
    </row>
    <row r="235" spans="1:5" ht="12.3">
      <c r="A235" s="27"/>
      <c r="B235" s="27"/>
      <c r="D235" s="625"/>
      <c r="E235" s="624"/>
    </row>
    <row r="236" spans="1:5" ht="12.3">
      <c r="A236" s="27"/>
      <c r="B236" s="27"/>
      <c r="D236" s="625"/>
      <c r="E236" s="624"/>
    </row>
    <row r="237" spans="1:5" ht="12.3">
      <c r="A237" s="27"/>
      <c r="B237" s="27"/>
      <c r="D237" s="625"/>
      <c r="E237" s="624"/>
    </row>
    <row r="238" spans="1:5" ht="12.3">
      <c r="A238" s="27"/>
      <c r="B238" s="27"/>
      <c r="D238" s="625"/>
      <c r="E238" s="624"/>
    </row>
    <row r="239" spans="1:5" ht="12.3">
      <c r="A239" s="27"/>
      <c r="B239" s="27"/>
      <c r="D239" s="625"/>
      <c r="E239" s="624"/>
    </row>
    <row r="240" spans="1:5" ht="12.3">
      <c r="A240" s="27"/>
      <c r="B240" s="27"/>
      <c r="D240" s="625"/>
      <c r="E240" s="624"/>
    </row>
    <row r="241" spans="1:5" ht="12.3">
      <c r="A241" s="27"/>
      <c r="B241" s="27"/>
      <c r="D241" s="625"/>
      <c r="E241" s="624"/>
    </row>
    <row r="242" spans="1:5" ht="12.3">
      <c r="A242" s="27"/>
      <c r="B242" s="27"/>
      <c r="D242" s="625"/>
      <c r="E242" s="624"/>
    </row>
    <row r="243" spans="1:5" ht="12.3">
      <c r="A243" s="27"/>
      <c r="B243" s="27"/>
      <c r="D243" s="625"/>
      <c r="E243" s="624"/>
    </row>
    <row r="244" spans="1:5" ht="12.3">
      <c r="A244" s="27"/>
      <c r="B244" s="27"/>
      <c r="D244" s="625"/>
      <c r="E244" s="624"/>
    </row>
    <row r="245" spans="1:5" ht="12.3">
      <c r="A245" s="27"/>
      <c r="B245" s="27"/>
      <c r="D245" s="625"/>
      <c r="E245" s="624"/>
    </row>
    <row r="246" spans="1:5" ht="12.3">
      <c r="A246" s="27"/>
      <c r="B246" s="27"/>
      <c r="D246" s="625"/>
      <c r="E246" s="624"/>
    </row>
    <row r="247" spans="1:5" ht="12.3">
      <c r="A247" s="27"/>
      <c r="B247" s="27"/>
      <c r="D247" s="625"/>
      <c r="E247" s="624"/>
    </row>
    <row r="248" spans="1:5" ht="12.3">
      <c r="A248" s="27"/>
      <c r="B248" s="27"/>
      <c r="D248" s="625"/>
      <c r="E248" s="624"/>
    </row>
    <row r="249" spans="1:5" ht="12.3">
      <c r="A249" s="27"/>
      <c r="B249" s="27"/>
      <c r="D249" s="625"/>
      <c r="E249" s="624"/>
    </row>
    <row r="250" spans="1:5" ht="12.3">
      <c r="A250" s="27"/>
      <c r="B250" s="27"/>
      <c r="D250" s="625"/>
      <c r="E250" s="624"/>
    </row>
    <row r="251" spans="1:5" ht="12.3">
      <c r="A251" s="27"/>
      <c r="B251" s="27"/>
      <c r="D251" s="625"/>
      <c r="E251" s="624"/>
    </row>
    <row r="252" spans="1:5" ht="12.3">
      <c r="A252" s="27"/>
      <c r="B252" s="27"/>
      <c r="D252" s="625"/>
      <c r="E252" s="624"/>
    </row>
    <row r="253" spans="1:5" ht="12.3">
      <c r="A253" s="27"/>
      <c r="B253" s="27"/>
      <c r="D253" s="625"/>
      <c r="E253" s="624"/>
    </row>
    <row r="254" spans="1:5" ht="12.3">
      <c r="A254" s="27"/>
      <c r="B254" s="27"/>
      <c r="D254" s="625"/>
      <c r="E254" s="624"/>
    </row>
    <row r="255" spans="1:5" ht="12.3">
      <c r="A255" s="27"/>
      <c r="B255" s="27"/>
      <c r="D255" s="625"/>
      <c r="E255" s="624"/>
    </row>
    <row r="256" spans="1:5" ht="12.3">
      <c r="A256" s="27"/>
      <c r="B256" s="27"/>
      <c r="D256" s="625"/>
      <c r="E256" s="624"/>
    </row>
    <row r="257" spans="1:5" ht="12.3">
      <c r="A257" s="27"/>
      <c r="B257" s="27"/>
      <c r="D257" s="625"/>
      <c r="E257" s="624"/>
    </row>
    <row r="258" spans="1:5" ht="12.3">
      <c r="A258" s="27"/>
      <c r="B258" s="27"/>
      <c r="D258" s="625"/>
      <c r="E258" s="624"/>
    </row>
    <row r="259" spans="1:5" ht="12.3">
      <c r="A259" s="27"/>
      <c r="B259" s="27"/>
      <c r="D259" s="625"/>
      <c r="E259" s="624"/>
    </row>
    <row r="260" spans="1:5" ht="12.3">
      <c r="A260" s="27"/>
      <c r="B260" s="27"/>
      <c r="D260" s="625"/>
      <c r="E260" s="624"/>
    </row>
    <row r="261" spans="1:5" ht="12.3">
      <c r="A261" s="27"/>
      <c r="B261" s="27"/>
      <c r="D261" s="625"/>
      <c r="E261" s="624"/>
    </row>
    <row r="262" spans="1:5" ht="12.3">
      <c r="A262" s="27"/>
      <c r="B262" s="27"/>
      <c r="D262" s="625"/>
      <c r="E262" s="624"/>
    </row>
    <row r="263" spans="1:5" ht="12.3">
      <c r="A263" s="27"/>
      <c r="B263" s="27"/>
      <c r="D263" s="625"/>
      <c r="E263" s="624"/>
    </row>
    <row r="264" spans="1:5" ht="12.3">
      <c r="A264" s="27"/>
      <c r="B264" s="27"/>
      <c r="D264" s="625"/>
      <c r="E264" s="624"/>
    </row>
    <row r="265" spans="1:5" ht="12.3">
      <c r="A265" s="27"/>
      <c r="B265" s="27"/>
      <c r="D265" s="625"/>
      <c r="E265" s="624"/>
    </row>
    <row r="266" spans="1:5" ht="12.3">
      <c r="A266" s="27"/>
      <c r="B266" s="27"/>
      <c r="D266" s="625"/>
      <c r="E266" s="624"/>
    </row>
    <row r="267" spans="1:5" ht="12.3">
      <c r="A267" s="27"/>
      <c r="B267" s="27"/>
      <c r="D267" s="625"/>
      <c r="E267" s="624"/>
    </row>
    <row r="268" spans="1:5" ht="12.3">
      <c r="A268" s="27"/>
      <c r="B268" s="27"/>
      <c r="D268" s="625"/>
      <c r="E268" s="624"/>
    </row>
    <row r="269" spans="1:5" ht="12.3">
      <c r="A269" s="27"/>
      <c r="B269" s="27"/>
      <c r="D269" s="625"/>
      <c r="E269" s="624"/>
    </row>
    <row r="270" spans="1:5" ht="12.3">
      <c r="A270" s="27"/>
      <c r="B270" s="27"/>
      <c r="D270" s="625"/>
      <c r="E270" s="624"/>
    </row>
    <row r="271" spans="1:5" ht="12.3">
      <c r="A271" s="27"/>
      <c r="B271" s="27"/>
      <c r="D271" s="625"/>
      <c r="E271" s="624"/>
    </row>
    <row r="272" spans="1:5" ht="12.3">
      <c r="A272" s="27"/>
      <c r="B272" s="27"/>
      <c r="D272" s="625"/>
      <c r="E272" s="624"/>
    </row>
    <row r="273" spans="1:5" ht="12.3">
      <c r="A273" s="27"/>
      <c r="B273" s="27"/>
      <c r="D273" s="625"/>
      <c r="E273" s="624"/>
    </row>
    <row r="274" spans="1:5" ht="12.3">
      <c r="A274" s="27"/>
      <c r="B274" s="27"/>
      <c r="D274" s="625"/>
      <c r="E274" s="624"/>
    </row>
    <row r="275" spans="1:5" ht="12.3">
      <c r="A275" s="27"/>
      <c r="B275" s="27"/>
      <c r="D275" s="625"/>
      <c r="E275" s="624"/>
    </row>
    <row r="276" spans="1:5" ht="12.3">
      <c r="A276" s="27"/>
      <c r="B276" s="27"/>
      <c r="D276" s="625"/>
      <c r="E276" s="624"/>
    </row>
    <row r="277" spans="1:5" ht="12.3">
      <c r="A277" s="27"/>
      <c r="B277" s="27"/>
      <c r="D277" s="625"/>
      <c r="E277" s="624"/>
    </row>
    <row r="278" spans="1:5" ht="12.3">
      <c r="A278" s="27"/>
      <c r="B278" s="27"/>
      <c r="D278" s="625"/>
      <c r="E278" s="624"/>
    </row>
    <row r="279" spans="1:5" ht="12.3">
      <c r="A279" s="27"/>
      <c r="B279" s="27"/>
      <c r="D279" s="625"/>
      <c r="E279" s="624"/>
    </row>
    <row r="280" spans="1:5" ht="12.3">
      <c r="A280" s="27"/>
      <c r="B280" s="27"/>
      <c r="D280" s="625"/>
      <c r="E280" s="624"/>
    </row>
    <row r="281" spans="1:5" ht="12.3">
      <c r="A281" s="27"/>
      <c r="B281" s="27"/>
      <c r="D281" s="625"/>
      <c r="E281" s="624"/>
    </row>
    <row r="282" spans="1:5" ht="12.3">
      <c r="A282" s="27"/>
      <c r="B282" s="27"/>
      <c r="D282" s="625"/>
      <c r="E282" s="624"/>
    </row>
    <row r="283" spans="1:5" ht="12.3">
      <c r="A283" s="27"/>
      <c r="B283" s="27"/>
      <c r="D283" s="625"/>
      <c r="E283" s="624"/>
    </row>
    <row r="284" spans="1:5" ht="12.3">
      <c r="A284" s="27"/>
      <c r="B284" s="27"/>
      <c r="D284" s="625"/>
      <c r="E284" s="624"/>
    </row>
    <row r="285" spans="1:5" ht="12.3">
      <c r="A285" s="27"/>
      <c r="B285" s="27"/>
      <c r="D285" s="625"/>
      <c r="E285" s="624"/>
    </row>
    <row r="286" spans="1:5" ht="12.3">
      <c r="A286" s="27"/>
      <c r="B286" s="27"/>
      <c r="D286" s="625"/>
      <c r="E286" s="624"/>
    </row>
    <row r="287" spans="1:5" ht="12.3">
      <c r="A287" s="27"/>
      <c r="B287" s="27"/>
      <c r="D287" s="625"/>
      <c r="E287" s="624"/>
    </row>
    <row r="288" spans="1:5" ht="12.3">
      <c r="A288" s="27"/>
      <c r="B288" s="27"/>
      <c r="D288" s="625"/>
      <c r="E288" s="624"/>
    </row>
    <row r="289" spans="1:5" ht="12.3">
      <c r="A289" s="27"/>
      <c r="B289" s="27"/>
      <c r="D289" s="625"/>
      <c r="E289" s="624"/>
    </row>
    <row r="290" spans="1:5" ht="12.3">
      <c r="A290" s="27"/>
      <c r="B290" s="27"/>
      <c r="D290" s="625"/>
      <c r="E290" s="624"/>
    </row>
    <row r="291" spans="1:5" ht="12.3">
      <c r="A291" s="27"/>
      <c r="B291" s="27"/>
      <c r="D291" s="625"/>
      <c r="E291" s="624"/>
    </row>
    <row r="292" spans="1:5" ht="12.3">
      <c r="A292" s="27"/>
      <c r="B292" s="27"/>
      <c r="D292" s="625"/>
      <c r="E292" s="624"/>
    </row>
    <row r="293" spans="1:5" ht="12.3">
      <c r="A293" s="27"/>
      <c r="B293" s="27"/>
      <c r="D293" s="625"/>
      <c r="E293" s="624"/>
    </row>
    <row r="294" spans="1:5" ht="12.3">
      <c r="A294" s="27"/>
      <c r="B294" s="27"/>
      <c r="D294" s="625"/>
      <c r="E294" s="624"/>
    </row>
    <row r="295" spans="1:5" ht="12.3">
      <c r="A295" s="27"/>
      <c r="B295" s="27"/>
      <c r="D295" s="625"/>
      <c r="E295" s="624"/>
    </row>
    <row r="296" spans="1:5" ht="12.3">
      <c r="A296" s="27"/>
      <c r="B296" s="27"/>
      <c r="D296" s="625"/>
      <c r="E296" s="624"/>
    </row>
    <row r="297" spans="1:5" ht="12.3">
      <c r="A297" s="27"/>
      <c r="B297" s="27"/>
      <c r="D297" s="625"/>
      <c r="E297" s="624"/>
    </row>
    <row r="298" spans="1:5" ht="12.3">
      <c r="A298" s="27"/>
      <c r="B298" s="27"/>
      <c r="D298" s="625"/>
      <c r="E298" s="624"/>
    </row>
    <row r="299" spans="1:5" ht="12.3">
      <c r="A299" s="27"/>
      <c r="B299" s="27"/>
      <c r="D299" s="625"/>
      <c r="E299" s="624"/>
    </row>
    <row r="300" spans="1:5" ht="12.3">
      <c r="A300" s="27"/>
      <c r="B300" s="27"/>
      <c r="D300" s="625"/>
      <c r="E300" s="624"/>
    </row>
    <row r="301" spans="1:5" ht="12.3">
      <c r="A301" s="27"/>
      <c r="B301" s="27"/>
      <c r="D301" s="625"/>
      <c r="E301" s="624"/>
    </row>
    <row r="302" spans="1:5" ht="12.3">
      <c r="A302" s="27"/>
      <c r="B302" s="27"/>
      <c r="D302" s="625"/>
      <c r="E302" s="624"/>
    </row>
    <row r="303" spans="1:5" ht="12.3">
      <c r="A303" s="27"/>
      <c r="B303" s="27"/>
      <c r="D303" s="625"/>
      <c r="E303" s="624"/>
    </row>
    <row r="304" spans="1:5" ht="12.3">
      <c r="A304" s="27"/>
      <c r="B304" s="27"/>
      <c r="D304" s="625"/>
      <c r="E304" s="624"/>
    </row>
    <row r="305" spans="1:5" ht="12.3">
      <c r="A305" s="27"/>
      <c r="B305" s="27"/>
      <c r="D305" s="625"/>
      <c r="E305" s="624"/>
    </row>
    <row r="306" spans="1:5" ht="12.3">
      <c r="A306" s="27"/>
      <c r="B306" s="27"/>
      <c r="D306" s="625"/>
      <c r="E306" s="624"/>
    </row>
    <row r="307" spans="1:5" ht="12.3">
      <c r="A307" s="27"/>
      <c r="B307" s="27"/>
      <c r="D307" s="625"/>
      <c r="E307" s="624"/>
    </row>
    <row r="308" spans="1:5" ht="12.3">
      <c r="A308" s="27"/>
      <c r="B308" s="27"/>
      <c r="D308" s="625"/>
      <c r="E308" s="624"/>
    </row>
    <row r="309" spans="1:5" ht="12.3">
      <c r="A309" s="27"/>
      <c r="B309" s="27"/>
      <c r="D309" s="625"/>
      <c r="E309" s="624"/>
    </row>
    <row r="310" spans="1:5" ht="12.3">
      <c r="A310" s="27"/>
      <c r="B310" s="27"/>
      <c r="D310" s="625"/>
      <c r="E310" s="624"/>
    </row>
    <row r="311" spans="1:5" ht="12.3">
      <c r="A311" s="27"/>
      <c r="B311" s="27"/>
      <c r="D311" s="625"/>
      <c r="E311" s="624"/>
    </row>
    <row r="312" spans="1:5" ht="12.3">
      <c r="A312" s="27"/>
      <c r="B312" s="27"/>
      <c r="D312" s="625"/>
      <c r="E312" s="624"/>
    </row>
    <row r="313" spans="1:5" ht="12.3">
      <c r="A313" s="27"/>
      <c r="B313" s="27"/>
      <c r="D313" s="625"/>
      <c r="E313" s="624"/>
    </row>
    <row r="314" spans="1:5" ht="12.3">
      <c r="A314" s="27"/>
      <c r="B314" s="27"/>
      <c r="D314" s="625"/>
      <c r="E314" s="624"/>
    </row>
    <row r="315" spans="1:5" ht="12.3">
      <c r="A315" s="27"/>
      <c r="B315" s="27"/>
      <c r="D315" s="625"/>
      <c r="E315" s="624"/>
    </row>
    <row r="316" spans="1:5" ht="12.3">
      <c r="A316" s="27"/>
      <c r="B316" s="27"/>
      <c r="D316" s="625"/>
      <c r="E316" s="624"/>
    </row>
    <row r="317" spans="1:5" ht="12.3">
      <c r="A317" s="27"/>
      <c r="B317" s="27"/>
      <c r="D317" s="625"/>
      <c r="E317" s="624"/>
    </row>
    <row r="318" spans="1:5" ht="12.3">
      <c r="A318" s="27"/>
      <c r="B318" s="27"/>
      <c r="D318" s="625"/>
      <c r="E318" s="624"/>
    </row>
    <row r="319" spans="1:5" ht="12.3">
      <c r="A319" s="27"/>
      <c r="B319" s="27"/>
      <c r="D319" s="625"/>
      <c r="E319" s="624"/>
    </row>
    <row r="320" spans="1:5" ht="12.3">
      <c r="A320" s="27"/>
      <c r="B320" s="27"/>
      <c r="D320" s="625"/>
      <c r="E320" s="624"/>
    </row>
    <row r="321" spans="1:5" ht="12.3">
      <c r="A321" s="27"/>
      <c r="B321" s="27"/>
      <c r="D321" s="625"/>
      <c r="E321" s="624"/>
    </row>
    <row r="322" spans="1:5" ht="12.3">
      <c r="A322" s="27"/>
      <c r="B322" s="27"/>
      <c r="D322" s="625"/>
      <c r="E322" s="624"/>
    </row>
    <row r="323" spans="1:5" ht="12.3">
      <c r="A323" s="27"/>
      <c r="B323" s="27"/>
      <c r="D323" s="625"/>
      <c r="E323" s="624"/>
    </row>
    <row r="324" spans="1:5" ht="12.3">
      <c r="A324" s="27"/>
      <c r="B324" s="27"/>
      <c r="D324" s="625"/>
      <c r="E324" s="624"/>
    </row>
    <row r="325" spans="1:5" ht="12.3">
      <c r="A325" s="27"/>
      <c r="B325" s="27"/>
      <c r="D325" s="625"/>
      <c r="E325" s="624"/>
    </row>
    <row r="326" spans="1:5" ht="12.3">
      <c r="A326" s="27"/>
      <c r="B326" s="27"/>
      <c r="D326" s="625"/>
      <c r="E326" s="624"/>
    </row>
    <row r="327" spans="1:5" ht="12.3">
      <c r="A327" s="27"/>
      <c r="B327" s="27"/>
      <c r="D327" s="625"/>
      <c r="E327" s="624"/>
    </row>
    <row r="328" spans="1:5" ht="12.3">
      <c r="A328" s="27"/>
      <c r="B328" s="27"/>
      <c r="D328" s="625"/>
      <c r="E328" s="624"/>
    </row>
    <row r="329" spans="1:5" ht="12.3">
      <c r="A329" s="27"/>
      <c r="B329" s="27"/>
      <c r="D329" s="625"/>
      <c r="E329" s="624"/>
    </row>
    <row r="330" spans="1:5" ht="12.3">
      <c r="A330" s="27"/>
      <c r="B330" s="27"/>
      <c r="D330" s="625"/>
      <c r="E330" s="624"/>
    </row>
    <row r="331" spans="1:5" ht="12.3">
      <c r="A331" s="27"/>
      <c r="B331" s="27"/>
      <c r="D331" s="625"/>
      <c r="E331" s="624"/>
    </row>
    <row r="332" spans="1:5" ht="12.3">
      <c r="A332" s="27"/>
      <c r="B332" s="27"/>
      <c r="D332" s="625"/>
      <c r="E332" s="624"/>
    </row>
    <row r="333" spans="1:5" ht="12.3">
      <c r="A333" s="27"/>
      <c r="B333" s="27"/>
      <c r="D333" s="625"/>
      <c r="E333" s="624"/>
    </row>
    <row r="334" spans="1:5" ht="12.3">
      <c r="A334" s="27"/>
      <c r="B334" s="27"/>
      <c r="D334" s="625"/>
      <c r="E334" s="624"/>
    </row>
    <row r="335" spans="1:5" ht="12.3">
      <c r="A335" s="27"/>
      <c r="B335" s="27"/>
      <c r="D335" s="625"/>
      <c r="E335" s="624"/>
    </row>
    <row r="336" spans="1:5" ht="12.3">
      <c r="A336" s="27"/>
      <c r="B336" s="27"/>
      <c r="D336" s="625"/>
      <c r="E336" s="624"/>
    </row>
    <row r="337" spans="1:5" ht="12.3">
      <c r="A337" s="27"/>
      <c r="B337" s="27"/>
      <c r="D337" s="625"/>
      <c r="E337" s="624"/>
    </row>
    <row r="338" spans="1:5" ht="12.3">
      <c r="A338" s="27"/>
      <c r="B338" s="27"/>
      <c r="D338" s="625"/>
      <c r="E338" s="624"/>
    </row>
    <row r="339" spans="1:5" ht="12.3">
      <c r="A339" s="27"/>
      <c r="B339" s="27"/>
      <c r="D339" s="625"/>
      <c r="E339" s="624"/>
    </row>
    <row r="340" spans="1:5" ht="12.3">
      <c r="A340" s="27"/>
      <c r="B340" s="27"/>
      <c r="D340" s="625"/>
      <c r="E340" s="624"/>
    </row>
    <row r="341" spans="1:5" ht="12.3">
      <c r="A341" s="27"/>
      <c r="B341" s="27"/>
      <c r="D341" s="625"/>
      <c r="E341" s="624"/>
    </row>
    <row r="342" spans="1:5" ht="12.3">
      <c r="A342" s="27"/>
      <c r="B342" s="27"/>
      <c r="D342" s="625"/>
      <c r="E342" s="624"/>
    </row>
    <row r="343" spans="1:5" ht="12.3">
      <c r="A343" s="27"/>
      <c r="B343" s="27"/>
      <c r="D343" s="625"/>
      <c r="E343" s="624"/>
    </row>
    <row r="344" spans="1:5" ht="12.3">
      <c r="A344" s="27"/>
      <c r="B344" s="27"/>
      <c r="D344" s="625"/>
      <c r="E344" s="624"/>
    </row>
    <row r="345" spans="1:5" ht="12.3">
      <c r="A345" s="27"/>
      <c r="B345" s="27"/>
      <c r="D345" s="625"/>
      <c r="E345" s="624"/>
    </row>
    <row r="346" spans="1:5" ht="12.3">
      <c r="A346" s="27"/>
      <c r="B346" s="27"/>
      <c r="D346" s="625"/>
      <c r="E346" s="624"/>
    </row>
    <row r="347" spans="1:5" ht="12.3">
      <c r="A347" s="27"/>
      <c r="B347" s="27"/>
      <c r="D347" s="625"/>
      <c r="E347" s="624"/>
    </row>
    <row r="348" spans="1:5" ht="12.3">
      <c r="A348" s="27"/>
      <c r="B348" s="27"/>
      <c r="D348" s="625"/>
      <c r="E348" s="624"/>
    </row>
    <row r="349" spans="1:5" ht="12.3">
      <c r="A349" s="27"/>
      <c r="B349" s="27"/>
      <c r="D349" s="625"/>
      <c r="E349" s="624"/>
    </row>
    <row r="350" spans="1:5" ht="12.3">
      <c r="A350" s="27"/>
      <c r="B350" s="27"/>
      <c r="D350" s="625"/>
      <c r="E350" s="624"/>
    </row>
    <row r="351" spans="1:5" ht="12.3">
      <c r="A351" s="27"/>
      <c r="B351" s="27"/>
      <c r="D351" s="625"/>
      <c r="E351" s="624"/>
    </row>
    <row r="352" spans="1:5" ht="12.3">
      <c r="A352" s="27"/>
      <c r="B352" s="27"/>
      <c r="D352" s="625"/>
      <c r="E352" s="624"/>
    </row>
    <row r="353" spans="1:5" ht="12.3">
      <c r="A353" s="27"/>
      <c r="B353" s="27"/>
      <c r="D353" s="625"/>
      <c r="E353" s="624"/>
    </row>
    <row r="354" spans="1:5" ht="12.3">
      <c r="A354" s="27"/>
      <c r="B354" s="27"/>
      <c r="D354" s="625"/>
      <c r="E354" s="624"/>
    </row>
    <row r="355" spans="1:5" ht="12.3">
      <c r="A355" s="27"/>
      <c r="B355" s="27"/>
      <c r="D355" s="625"/>
      <c r="E355" s="624"/>
    </row>
    <row r="356" spans="1:5" ht="12.3">
      <c r="A356" s="27"/>
      <c r="B356" s="27"/>
      <c r="D356" s="625"/>
      <c r="E356" s="624"/>
    </row>
    <row r="357" spans="1:5" ht="12.3">
      <c r="A357" s="27"/>
      <c r="B357" s="27"/>
      <c r="D357" s="625"/>
      <c r="E357" s="624"/>
    </row>
    <row r="358" spans="1:5" ht="12.3">
      <c r="A358" s="27"/>
      <c r="B358" s="27"/>
      <c r="D358" s="625"/>
      <c r="E358" s="624"/>
    </row>
    <row r="359" spans="1:5" ht="12.3">
      <c r="A359" s="27"/>
      <c r="B359" s="27"/>
      <c r="D359" s="625"/>
      <c r="E359" s="624"/>
    </row>
    <row r="360" spans="1:5" ht="12.3">
      <c r="A360" s="27"/>
      <c r="B360" s="27"/>
      <c r="D360" s="625"/>
      <c r="E360" s="624"/>
    </row>
    <row r="361" spans="1:5" ht="12.3">
      <c r="A361" s="27"/>
      <c r="B361" s="27"/>
      <c r="D361" s="625"/>
      <c r="E361" s="624"/>
    </row>
    <row r="362" spans="1:5" ht="12.3">
      <c r="A362" s="27"/>
      <c r="B362" s="27"/>
      <c r="D362" s="625"/>
      <c r="E362" s="624"/>
    </row>
    <row r="363" spans="1:5" ht="12.3">
      <c r="A363" s="27"/>
      <c r="B363" s="27"/>
      <c r="D363" s="625"/>
      <c r="E363" s="624"/>
    </row>
    <row r="364" spans="1:5" ht="12.3">
      <c r="A364" s="27"/>
      <c r="B364" s="27"/>
      <c r="D364" s="625"/>
      <c r="E364" s="624"/>
    </row>
    <row r="365" spans="1:5" ht="12.3">
      <c r="A365" s="27"/>
      <c r="B365" s="27"/>
      <c r="D365" s="625"/>
      <c r="E365" s="624"/>
    </row>
    <row r="366" spans="1:5" ht="12.3">
      <c r="A366" s="27"/>
      <c r="B366" s="27"/>
      <c r="D366" s="625"/>
      <c r="E366" s="624"/>
    </row>
    <row r="367" spans="1:5" ht="12.3">
      <c r="A367" s="27"/>
      <c r="B367" s="27"/>
      <c r="D367" s="625"/>
      <c r="E367" s="624"/>
    </row>
    <row r="368" spans="1:5" ht="12.3">
      <c r="A368" s="27"/>
      <c r="B368" s="27"/>
      <c r="D368" s="625"/>
      <c r="E368" s="624"/>
    </row>
    <row r="369" spans="1:5" ht="12.3">
      <c r="A369" s="27"/>
      <c r="B369" s="27"/>
      <c r="D369" s="625"/>
      <c r="E369" s="624"/>
    </row>
    <row r="370" spans="1:5" ht="12.3">
      <c r="A370" s="27"/>
      <c r="B370" s="27"/>
      <c r="D370" s="625"/>
      <c r="E370" s="624"/>
    </row>
    <row r="371" spans="1:5" ht="12.3">
      <c r="A371" s="27"/>
      <c r="B371" s="27"/>
      <c r="D371" s="625"/>
      <c r="E371" s="624"/>
    </row>
    <row r="372" spans="1:5" ht="12.3">
      <c r="A372" s="27"/>
      <c r="B372" s="27"/>
      <c r="D372" s="625"/>
      <c r="E372" s="624"/>
    </row>
    <row r="373" spans="1:5" ht="12.3">
      <c r="A373" s="27"/>
      <c r="B373" s="27"/>
      <c r="D373" s="625"/>
      <c r="E373" s="624"/>
    </row>
    <row r="374" spans="1:5" ht="12.3">
      <c r="A374" s="27"/>
      <c r="B374" s="27"/>
      <c r="D374" s="625"/>
      <c r="E374" s="624"/>
    </row>
    <row r="375" spans="1:5" ht="12.3">
      <c r="A375" s="27"/>
      <c r="B375" s="27"/>
      <c r="D375" s="625"/>
      <c r="E375" s="624"/>
    </row>
    <row r="376" spans="1:5" ht="12.3">
      <c r="A376" s="27"/>
      <c r="B376" s="27"/>
      <c r="D376" s="625"/>
      <c r="E376" s="624"/>
    </row>
    <row r="377" spans="1:5" ht="12.3">
      <c r="A377" s="27"/>
      <c r="B377" s="27"/>
      <c r="D377" s="625"/>
      <c r="E377" s="624"/>
    </row>
    <row r="378" spans="1:5" ht="12.3">
      <c r="A378" s="27"/>
      <c r="B378" s="27"/>
      <c r="D378" s="625"/>
      <c r="E378" s="624"/>
    </row>
    <row r="379" spans="1:5" ht="12.3">
      <c r="A379" s="27"/>
      <c r="B379" s="27"/>
      <c r="D379" s="625"/>
      <c r="E379" s="624"/>
    </row>
    <row r="380" spans="1:5" ht="12.3">
      <c r="A380" s="27"/>
      <c r="B380" s="27"/>
      <c r="D380" s="625"/>
      <c r="E380" s="624"/>
    </row>
    <row r="381" spans="1:5" ht="12.3">
      <c r="A381" s="27"/>
      <c r="B381" s="27"/>
      <c r="D381" s="625"/>
      <c r="E381" s="624"/>
    </row>
    <row r="382" spans="1:5" ht="12.3">
      <c r="A382" s="27"/>
      <c r="B382" s="27"/>
      <c r="D382" s="625"/>
      <c r="E382" s="624"/>
    </row>
    <row r="383" spans="1:5" ht="12.3">
      <c r="A383" s="27"/>
      <c r="B383" s="27"/>
      <c r="D383" s="625"/>
      <c r="E383" s="624"/>
    </row>
    <row r="384" spans="1:5" ht="12.3">
      <c r="A384" s="27"/>
      <c r="B384" s="27"/>
      <c r="D384" s="625"/>
      <c r="E384" s="624"/>
    </row>
    <row r="385" spans="1:5" ht="12.3">
      <c r="A385" s="27"/>
      <c r="B385" s="27"/>
      <c r="D385" s="625"/>
      <c r="E385" s="624"/>
    </row>
    <row r="386" spans="1:5" ht="12.3">
      <c r="A386" s="27"/>
      <c r="B386" s="27"/>
      <c r="D386" s="625"/>
      <c r="E386" s="624"/>
    </row>
    <row r="387" spans="1:5" ht="12.3">
      <c r="A387" s="27"/>
      <c r="B387" s="27"/>
      <c r="D387" s="625"/>
      <c r="E387" s="624"/>
    </row>
    <row r="388" spans="1:5" ht="12.3">
      <c r="A388" s="27"/>
      <c r="B388" s="27"/>
      <c r="D388" s="625"/>
      <c r="E388" s="624"/>
    </row>
    <row r="389" spans="1:5" ht="12.3">
      <c r="A389" s="27"/>
      <c r="B389" s="27"/>
      <c r="D389" s="625"/>
      <c r="E389" s="624"/>
    </row>
    <row r="390" spans="1:5" ht="12.3">
      <c r="A390" s="27"/>
      <c r="B390" s="27"/>
      <c r="D390" s="625"/>
      <c r="E390" s="624"/>
    </row>
    <row r="391" spans="1:5" ht="12.3">
      <c r="A391" s="27"/>
      <c r="B391" s="27"/>
      <c r="D391" s="625"/>
      <c r="E391" s="624"/>
    </row>
    <row r="392" spans="1:5" ht="12.3">
      <c r="A392" s="27"/>
      <c r="B392" s="27"/>
      <c r="D392" s="625"/>
      <c r="E392" s="624"/>
    </row>
    <row r="393" spans="1:5" ht="12.3">
      <c r="A393" s="27"/>
      <c r="B393" s="27"/>
      <c r="D393" s="625"/>
      <c r="E393" s="624"/>
    </row>
    <row r="394" spans="1:5" ht="12.3">
      <c r="A394" s="27"/>
      <c r="B394" s="27"/>
      <c r="D394" s="625"/>
      <c r="E394" s="624"/>
    </row>
    <row r="395" spans="1:5" ht="12.3">
      <c r="A395" s="27"/>
      <c r="B395" s="27"/>
      <c r="D395" s="625"/>
      <c r="E395" s="624"/>
    </row>
    <row r="396" spans="1:5" ht="12.3">
      <c r="A396" s="27"/>
      <c r="B396" s="27"/>
      <c r="D396" s="625"/>
      <c r="E396" s="624"/>
    </row>
    <row r="397" spans="1:5" ht="12.3">
      <c r="A397" s="27"/>
      <c r="B397" s="27"/>
      <c r="D397" s="625"/>
      <c r="E397" s="624"/>
    </row>
    <row r="398" spans="1:5" ht="12.3">
      <c r="A398" s="27"/>
      <c r="B398" s="27"/>
      <c r="D398" s="625"/>
      <c r="E398" s="624"/>
    </row>
    <row r="399" spans="1:5" ht="12.3">
      <c r="A399" s="27"/>
      <c r="B399" s="27"/>
      <c r="D399" s="625"/>
      <c r="E399" s="624"/>
    </row>
    <row r="400" spans="1:5" ht="12.3">
      <c r="A400" s="27"/>
      <c r="B400" s="27"/>
      <c r="D400" s="625"/>
      <c r="E400" s="624"/>
    </row>
    <row r="401" spans="1:5" ht="12.3">
      <c r="A401" s="27"/>
      <c r="B401" s="27"/>
      <c r="D401" s="625"/>
      <c r="E401" s="624"/>
    </row>
    <row r="402" spans="1:5" ht="12.3">
      <c r="A402" s="27"/>
      <c r="B402" s="27"/>
      <c r="D402" s="625"/>
      <c r="E402" s="624"/>
    </row>
    <row r="403" spans="1:5" ht="12.3">
      <c r="A403" s="27"/>
      <c r="B403" s="27"/>
      <c r="D403" s="625"/>
      <c r="E403" s="624"/>
    </row>
    <row r="404" spans="1:5" ht="12.3">
      <c r="A404" s="27"/>
      <c r="B404" s="27"/>
      <c r="D404" s="625"/>
      <c r="E404" s="624"/>
    </row>
    <row r="405" spans="1:5" ht="12.3">
      <c r="A405" s="27"/>
      <c r="B405" s="27"/>
      <c r="D405" s="625"/>
      <c r="E405" s="624"/>
    </row>
    <row r="406" spans="1:5" ht="12.3">
      <c r="A406" s="27"/>
      <c r="B406" s="27"/>
      <c r="D406" s="625"/>
      <c r="E406" s="624"/>
    </row>
    <row r="407" spans="1:5" ht="12.3">
      <c r="A407" s="27"/>
      <c r="B407" s="27"/>
      <c r="D407" s="625"/>
      <c r="E407" s="624"/>
    </row>
    <row r="408" spans="1:5" ht="12.3">
      <c r="A408" s="27"/>
      <c r="B408" s="27"/>
      <c r="D408" s="625"/>
      <c r="E408" s="624"/>
    </row>
    <row r="409" spans="1:5" ht="12.3">
      <c r="A409" s="27"/>
      <c r="B409" s="27"/>
      <c r="D409" s="625"/>
      <c r="E409" s="624"/>
    </row>
    <row r="410" spans="1:5" ht="12.3">
      <c r="A410" s="27"/>
      <c r="B410" s="27"/>
      <c r="D410" s="625"/>
      <c r="E410" s="624"/>
    </row>
    <row r="411" spans="1:5" ht="12.3">
      <c r="A411" s="27"/>
      <c r="B411" s="27"/>
      <c r="D411" s="625"/>
      <c r="E411" s="624"/>
    </row>
    <row r="412" spans="1:5" ht="12.3">
      <c r="A412" s="27"/>
      <c r="B412" s="27"/>
      <c r="D412" s="625"/>
      <c r="E412" s="624"/>
    </row>
    <row r="413" spans="1:5" ht="12.3">
      <c r="A413" s="27"/>
      <c r="B413" s="27"/>
      <c r="D413" s="625"/>
      <c r="E413" s="624"/>
    </row>
    <row r="414" spans="1:5" ht="12.3">
      <c r="A414" s="27"/>
      <c r="B414" s="27"/>
      <c r="D414" s="625"/>
      <c r="E414" s="624"/>
    </row>
    <row r="415" spans="1:5" ht="12.3">
      <c r="A415" s="27"/>
      <c r="B415" s="27"/>
      <c r="D415" s="625"/>
      <c r="E415" s="624"/>
    </row>
    <row r="416" spans="1:5" ht="12.3">
      <c r="A416" s="27"/>
      <c r="B416" s="27"/>
      <c r="D416" s="625"/>
      <c r="E416" s="624"/>
    </row>
    <row r="417" spans="1:5" ht="12.3">
      <c r="A417" s="27"/>
      <c r="B417" s="27"/>
      <c r="D417" s="625"/>
      <c r="E417" s="624"/>
    </row>
    <row r="418" spans="1:5" ht="12.3">
      <c r="A418" s="27"/>
      <c r="B418" s="27"/>
      <c r="D418" s="625"/>
      <c r="E418" s="624"/>
    </row>
    <row r="419" spans="1:5" ht="12.3">
      <c r="A419" s="27"/>
      <c r="B419" s="27"/>
      <c r="D419" s="625"/>
      <c r="E419" s="624"/>
    </row>
    <row r="420" spans="1:5" ht="12.3">
      <c r="A420" s="27"/>
      <c r="B420" s="27"/>
      <c r="D420" s="625"/>
      <c r="E420" s="624"/>
    </row>
    <row r="421" spans="1:5" ht="12.3">
      <c r="A421" s="27"/>
      <c r="B421" s="27"/>
      <c r="D421" s="625"/>
      <c r="E421" s="624"/>
    </row>
    <row r="422" spans="1:5" ht="12.3">
      <c r="A422" s="27"/>
      <c r="B422" s="27"/>
      <c r="D422" s="625"/>
      <c r="E422" s="624"/>
    </row>
    <row r="423" spans="1:5" ht="12.3">
      <c r="A423" s="27"/>
      <c r="B423" s="27"/>
      <c r="D423" s="625"/>
      <c r="E423" s="624"/>
    </row>
    <row r="424" spans="1:5" ht="12.3">
      <c r="A424" s="27"/>
      <c r="B424" s="27"/>
      <c r="D424" s="625"/>
      <c r="E424" s="624"/>
    </row>
    <row r="425" spans="1:5" ht="12.3">
      <c r="A425" s="27"/>
      <c r="B425" s="27"/>
      <c r="D425" s="625"/>
      <c r="E425" s="624"/>
    </row>
    <row r="426" spans="1:5" ht="12.3">
      <c r="A426" s="27"/>
      <c r="B426" s="27"/>
      <c r="D426" s="625"/>
      <c r="E426" s="624"/>
    </row>
    <row r="427" spans="1:5" ht="12.3">
      <c r="A427" s="27"/>
      <c r="B427" s="27"/>
      <c r="D427" s="625"/>
      <c r="E427" s="624"/>
    </row>
    <row r="428" spans="1:5" ht="12.3">
      <c r="A428" s="27"/>
      <c r="B428" s="27"/>
      <c r="D428" s="625"/>
      <c r="E428" s="624"/>
    </row>
    <row r="429" spans="1:5" ht="12.3">
      <c r="A429" s="27"/>
      <c r="B429" s="27"/>
      <c r="D429" s="625"/>
      <c r="E429" s="624"/>
    </row>
    <row r="430" spans="1:5" ht="12.3">
      <c r="A430" s="27"/>
      <c r="B430" s="27"/>
      <c r="D430" s="625"/>
      <c r="E430" s="624"/>
    </row>
    <row r="431" spans="1:5" ht="12.3">
      <c r="A431" s="27"/>
      <c r="B431" s="27"/>
      <c r="D431" s="625"/>
      <c r="E431" s="624"/>
    </row>
    <row r="432" spans="1:5" ht="12.3">
      <c r="A432" s="27"/>
      <c r="B432" s="27"/>
      <c r="D432" s="625"/>
      <c r="E432" s="624"/>
    </row>
    <row r="433" spans="1:5" ht="12.3">
      <c r="A433" s="27"/>
      <c r="B433" s="27"/>
      <c r="D433" s="625"/>
      <c r="E433" s="624"/>
    </row>
    <row r="434" spans="1:5" ht="12.3">
      <c r="A434" s="27"/>
      <c r="B434" s="27"/>
      <c r="D434" s="625"/>
      <c r="E434" s="624"/>
    </row>
    <row r="435" spans="1:5" ht="12.3">
      <c r="A435" s="27"/>
      <c r="B435" s="27"/>
      <c r="D435" s="625"/>
      <c r="E435" s="624"/>
    </row>
    <row r="436" spans="1:5" ht="12.3">
      <c r="A436" s="27"/>
      <c r="B436" s="27"/>
      <c r="D436" s="625"/>
      <c r="E436" s="624"/>
    </row>
    <row r="437" spans="1:5" ht="12.3">
      <c r="A437" s="27"/>
      <c r="B437" s="27"/>
      <c r="D437" s="625"/>
      <c r="E437" s="624"/>
    </row>
    <row r="438" spans="1:5" ht="12.3">
      <c r="A438" s="27"/>
      <c r="B438" s="27"/>
      <c r="D438" s="625"/>
      <c r="E438" s="624"/>
    </row>
    <row r="439" spans="1:5" ht="12.3">
      <c r="A439" s="27"/>
      <c r="B439" s="27"/>
      <c r="D439" s="625"/>
      <c r="E439" s="624"/>
    </row>
    <row r="440" spans="1:5" ht="12.3">
      <c r="A440" s="27"/>
      <c r="B440" s="27"/>
      <c r="D440" s="625"/>
      <c r="E440" s="624"/>
    </row>
    <row r="441" spans="1:5" ht="12.3">
      <c r="A441" s="27"/>
      <c r="B441" s="27"/>
      <c r="D441" s="625"/>
      <c r="E441" s="624"/>
    </row>
    <row r="442" spans="1:5" ht="12.3">
      <c r="A442" s="27"/>
      <c r="B442" s="27"/>
      <c r="D442" s="625"/>
      <c r="E442" s="624"/>
    </row>
    <row r="443" spans="1:5" ht="12.3">
      <c r="A443" s="27"/>
      <c r="B443" s="27"/>
      <c r="D443" s="625"/>
      <c r="E443" s="624"/>
    </row>
    <row r="444" spans="1:5" ht="12.3">
      <c r="A444" s="27"/>
      <c r="B444" s="27"/>
      <c r="D444" s="625"/>
      <c r="E444" s="624"/>
    </row>
    <row r="445" spans="1:5" ht="12.3">
      <c r="A445" s="27"/>
      <c r="B445" s="27"/>
      <c r="D445" s="625"/>
      <c r="E445" s="624"/>
    </row>
    <row r="446" spans="1:5" ht="12.3">
      <c r="A446" s="27"/>
      <c r="B446" s="27"/>
      <c r="D446" s="625"/>
      <c r="E446" s="624"/>
    </row>
    <row r="447" spans="1:5" ht="12.3">
      <c r="A447" s="27"/>
      <c r="B447" s="27"/>
      <c r="D447" s="625"/>
      <c r="E447" s="624"/>
    </row>
    <row r="448" spans="1:5" ht="12.3">
      <c r="A448" s="27"/>
      <c r="B448" s="27"/>
      <c r="D448" s="625"/>
      <c r="E448" s="624"/>
    </row>
    <row r="449" spans="1:5" ht="12.3">
      <c r="A449" s="27"/>
      <c r="B449" s="27"/>
      <c r="D449" s="625"/>
      <c r="E449" s="624"/>
    </row>
    <row r="450" spans="1:5" ht="12.3">
      <c r="A450" s="27"/>
      <c r="B450" s="27"/>
      <c r="D450" s="625"/>
      <c r="E450" s="624"/>
    </row>
    <row r="451" spans="1:5" ht="12.3">
      <c r="A451" s="27"/>
      <c r="B451" s="27"/>
      <c r="D451" s="625"/>
      <c r="E451" s="624"/>
    </row>
    <row r="452" spans="1:5" ht="12.3">
      <c r="A452" s="27"/>
      <c r="B452" s="27"/>
      <c r="D452" s="625"/>
      <c r="E452" s="624"/>
    </row>
    <row r="453" spans="1:5" ht="12.3">
      <c r="A453" s="27"/>
      <c r="B453" s="27"/>
      <c r="D453" s="625"/>
      <c r="E453" s="624"/>
    </row>
    <row r="454" spans="1:5" ht="12.3">
      <c r="A454" s="27"/>
      <c r="B454" s="27"/>
      <c r="D454" s="625"/>
      <c r="E454" s="624"/>
    </row>
    <row r="455" spans="1:5" ht="12.3">
      <c r="A455" s="27"/>
      <c r="B455" s="27"/>
      <c r="D455" s="625"/>
      <c r="E455" s="624"/>
    </row>
    <row r="456" spans="1:5" ht="12.3">
      <c r="A456" s="27"/>
      <c r="B456" s="27"/>
      <c r="D456" s="625"/>
      <c r="E456" s="624"/>
    </row>
    <row r="457" spans="1:5" ht="12.3">
      <c r="A457" s="27"/>
      <c r="B457" s="27"/>
      <c r="D457" s="625"/>
      <c r="E457" s="624"/>
    </row>
    <row r="458" spans="1:5" ht="12.3">
      <c r="A458" s="27"/>
      <c r="B458" s="27"/>
      <c r="D458" s="625"/>
      <c r="E458" s="624"/>
    </row>
    <row r="459" spans="1:5" ht="12.3">
      <c r="A459" s="27"/>
      <c r="B459" s="27"/>
      <c r="D459" s="625"/>
      <c r="E459" s="624"/>
    </row>
    <row r="460" spans="1:5" ht="12.3">
      <c r="A460" s="27"/>
      <c r="B460" s="27"/>
      <c r="D460" s="625"/>
      <c r="E460" s="624"/>
    </row>
    <row r="461" spans="1:5" ht="12.3">
      <c r="A461" s="27"/>
      <c r="B461" s="27"/>
      <c r="D461" s="625"/>
      <c r="E461" s="624"/>
    </row>
    <row r="462" spans="1:5" ht="12.3">
      <c r="A462" s="27"/>
      <c r="B462" s="27"/>
      <c r="D462" s="625"/>
      <c r="E462" s="624"/>
    </row>
    <row r="463" spans="1:5" ht="12.3">
      <c r="A463" s="27"/>
      <c r="B463" s="27"/>
      <c r="D463" s="625"/>
      <c r="E463" s="624"/>
    </row>
    <row r="464" spans="1:5" ht="12.3">
      <c r="A464" s="27"/>
      <c r="B464" s="27"/>
      <c r="D464" s="625"/>
      <c r="E464" s="624"/>
    </row>
    <row r="465" spans="1:5" ht="12.3">
      <c r="A465" s="27"/>
      <c r="B465" s="27"/>
      <c r="D465" s="625"/>
      <c r="E465" s="624"/>
    </row>
    <row r="466" spans="1:5" ht="12.3">
      <c r="A466" s="27"/>
      <c r="B466" s="27"/>
      <c r="D466" s="625"/>
      <c r="E466" s="624"/>
    </row>
    <row r="467" spans="1:5" ht="12.3">
      <c r="A467" s="27"/>
      <c r="B467" s="27"/>
      <c r="D467" s="625"/>
      <c r="E467" s="624"/>
    </row>
    <row r="468" spans="1:5" ht="12.3">
      <c r="A468" s="27"/>
      <c r="B468" s="27"/>
      <c r="D468" s="625"/>
      <c r="E468" s="624"/>
    </row>
    <row r="469" spans="1:5" ht="12.3">
      <c r="A469" s="27"/>
      <c r="B469" s="27"/>
      <c r="D469" s="625"/>
      <c r="E469" s="624"/>
    </row>
    <row r="470" spans="1:5" ht="12.3">
      <c r="A470" s="27"/>
      <c r="B470" s="27"/>
      <c r="D470" s="625"/>
      <c r="E470" s="624"/>
    </row>
    <row r="471" spans="1:5" ht="12.3">
      <c r="A471" s="27"/>
      <c r="B471" s="27"/>
      <c r="D471" s="625"/>
      <c r="E471" s="624"/>
    </row>
    <row r="472" spans="1:5" ht="12.3">
      <c r="A472" s="27"/>
      <c r="B472" s="27"/>
      <c r="D472" s="625"/>
      <c r="E472" s="624"/>
    </row>
    <row r="473" spans="1:5" ht="12.3">
      <c r="A473" s="27"/>
      <c r="B473" s="27"/>
      <c r="D473" s="625"/>
      <c r="E473" s="624"/>
    </row>
    <row r="474" spans="1:5" ht="12.3">
      <c r="A474" s="27"/>
      <c r="B474" s="27"/>
      <c r="D474" s="625"/>
      <c r="E474" s="624"/>
    </row>
    <row r="475" spans="1:5" ht="12.3">
      <c r="A475" s="27"/>
      <c r="B475" s="27"/>
      <c r="D475" s="625"/>
      <c r="E475" s="624"/>
    </row>
    <row r="476" spans="1:5" ht="12.3">
      <c r="A476" s="27"/>
      <c r="B476" s="27"/>
      <c r="D476" s="625"/>
      <c r="E476" s="624"/>
    </row>
    <row r="477" spans="1:5" ht="12.3">
      <c r="A477" s="27"/>
      <c r="B477" s="27"/>
      <c r="D477" s="625"/>
      <c r="E477" s="624"/>
    </row>
    <row r="478" spans="1:5" ht="12.3">
      <c r="A478" s="27"/>
      <c r="B478" s="27"/>
      <c r="D478" s="625"/>
      <c r="E478" s="624"/>
    </row>
    <row r="479" spans="1:5" ht="12.3">
      <c r="A479" s="27"/>
      <c r="B479" s="27"/>
      <c r="D479" s="625"/>
      <c r="E479" s="624"/>
    </row>
    <row r="480" spans="1:5" ht="12.3">
      <c r="A480" s="27"/>
      <c r="B480" s="27"/>
      <c r="D480" s="625"/>
      <c r="E480" s="624"/>
    </row>
    <row r="481" spans="1:5" ht="12.3">
      <c r="A481" s="27"/>
      <c r="B481" s="27"/>
      <c r="D481" s="625"/>
      <c r="E481" s="624"/>
    </row>
    <row r="482" spans="1:5" ht="12.3">
      <c r="A482" s="27"/>
      <c r="B482" s="27"/>
      <c r="D482" s="625"/>
      <c r="E482" s="624"/>
    </row>
    <row r="483" spans="1:5" ht="12.3">
      <c r="A483" s="27"/>
      <c r="B483" s="27"/>
      <c r="D483" s="625"/>
      <c r="E483" s="624"/>
    </row>
    <row r="484" spans="1:5" ht="12.3">
      <c r="A484" s="27"/>
      <c r="B484" s="27"/>
      <c r="D484" s="625"/>
      <c r="E484" s="624"/>
    </row>
    <row r="485" spans="1:5" ht="12.3">
      <c r="A485" s="27"/>
      <c r="B485" s="27"/>
      <c r="D485" s="625"/>
      <c r="E485" s="624"/>
    </row>
    <row r="486" spans="1:5" ht="12.3">
      <c r="A486" s="27"/>
      <c r="B486" s="27"/>
      <c r="D486" s="625"/>
      <c r="E486" s="624"/>
    </row>
    <row r="487" spans="1:5" ht="12.3">
      <c r="A487" s="27"/>
      <c r="B487" s="27"/>
      <c r="D487" s="625"/>
      <c r="E487" s="624"/>
    </row>
    <row r="488" spans="1:5" ht="12.3">
      <c r="A488" s="27"/>
      <c r="B488" s="27"/>
      <c r="D488" s="625"/>
      <c r="E488" s="624"/>
    </row>
    <row r="489" spans="1:5" ht="12.3">
      <c r="A489" s="27"/>
      <c r="B489" s="27"/>
      <c r="D489" s="625"/>
      <c r="E489" s="624"/>
    </row>
    <row r="490" spans="1:5" ht="12.3">
      <c r="A490" s="27"/>
      <c r="B490" s="27"/>
      <c r="D490" s="625"/>
      <c r="E490" s="624"/>
    </row>
    <row r="491" spans="1:5" ht="12.3">
      <c r="A491" s="27"/>
      <c r="B491" s="27"/>
      <c r="D491" s="625"/>
      <c r="E491" s="624"/>
    </row>
    <row r="492" spans="1:5" ht="12.3">
      <c r="A492" s="27"/>
      <c r="B492" s="27"/>
      <c r="D492" s="625"/>
      <c r="E492" s="624"/>
    </row>
    <row r="493" spans="1:5" ht="12.3">
      <c r="A493" s="27"/>
      <c r="B493" s="27"/>
      <c r="D493" s="625"/>
      <c r="E493" s="624"/>
    </row>
    <row r="494" spans="1:5" ht="12.3">
      <c r="A494" s="27"/>
      <c r="B494" s="27"/>
      <c r="D494" s="625"/>
      <c r="E494" s="624"/>
    </row>
    <row r="495" spans="1:5" ht="12.3">
      <c r="A495" s="27"/>
      <c r="B495" s="27"/>
      <c r="D495" s="625"/>
      <c r="E495" s="624"/>
    </row>
    <row r="496" spans="1:5" ht="12.3">
      <c r="A496" s="27"/>
      <c r="B496" s="27"/>
      <c r="D496" s="625"/>
      <c r="E496" s="624"/>
    </row>
    <row r="497" spans="1:5" ht="12.3">
      <c r="A497" s="27"/>
      <c r="B497" s="27"/>
      <c r="D497" s="625"/>
      <c r="E497" s="624"/>
    </row>
    <row r="498" spans="1:5" ht="12.3">
      <c r="A498" s="27"/>
      <c r="B498" s="27"/>
      <c r="D498" s="625"/>
      <c r="E498" s="624"/>
    </row>
    <row r="499" spans="1:5" ht="12.3">
      <c r="A499" s="27"/>
      <c r="B499" s="27"/>
      <c r="D499" s="625"/>
      <c r="E499" s="624"/>
    </row>
    <row r="500" spans="1:5" ht="12.3">
      <c r="A500" s="27"/>
      <c r="B500" s="27"/>
      <c r="D500" s="625"/>
      <c r="E500" s="624"/>
    </row>
    <row r="501" spans="1:5" ht="12.3">
      <c r="A501" s="27"/>
      <c r="B501" s="27"/>
      <c r="D501" s="625"/>
      <c r="E501" s="624"/>
    </row>
    <row r="502" spans="1:5" ht="12.3">
      <c r="A502" s="27"/>
      <c r="B502" s="27"/>
      <c r="D502" s="625"/>
      <c r="E502" s="624"/>
    </row>
    <row r="503" spans="1:5" ht="12.3">
      <c r="A503" s="27"/>
      <c r="B503" s="27"/>
      <c r="D503" s="625"/>
      <c r="E503" s="624"/>
    </row>
    <row r="504" spans="1:5" ht="12.3">
      <c r="A504" s="27"/>
      <c r="B504" s="27"/>
      <c r="D504" s="625"/>
      <c r="E504" s="624"/>
    </row>
    <row r="505" spans="1:5" ht="12.3">
      <c r="A505" s="27"/>
      <c r="B505" s="27"/>
      <c r="D505" s="625"/>
      <c r="E505" s="624"/>
    </row>
    <row r="506" spans="1:5" ht="12.3">
      <c r="A506" s="27"/>
      <c r="B506" s="27"/>
      <c r="D506" s="625"/>
      <c r="E506" s="624"/>
    </row>
    <row r="507" spans="1:5" ht="12.3">
      <c r="A507" s="27"/>
      <c r="B507" s="27"/>
      <c r="D507" s="625"/>
      <c r="E507" s="624"/>
    </row>
    <row r="508" spans="1:5" ht="12.3">
      <c r="A508" s="27"/>
      <c r="B508" s="27"/>
      <c r="D508" s="625"/>
      <c r="E508" s="624"/>
    </row>
    <row r="509" spans="1:5" ht="12.3">
      <c r="A509" s="27"/>
      <c r="B509" s="27"/>
      <c r="D509" s="625"/>
      <c r="E509" s="624"/>
    </row>
    <row r="510" spans="1:5" ht="12.3">
      <c r="A510" s="27"/>
      <c r="B510" s="27"/>
      <c r="D510" s="625"/>
      <c r="E510" s="624"/>
    </row>
    <row r="511" spans="1:5" ht="12.3">
      <c r="A511" s="27"/>
      <c r="B511" s="27"/>
      <c r="D511" s="625"/>
      <c r="E511" s="624"/>
    </row>
    <row r="512" spans="1:5" ht="12.3">
      <c r="A512" s="27"/>
      <c r="B512" s="27"/>
      <c r="D512" s="625"/>
      <c r="E512" s="624"/>
    </row>
    <row r="513" spans="1:5" ht="12.3">
      <c r="A513" s="27"/>
      <c r="B513" s="27"/>
      <c r="D513" s="625"/>
      <c r="E513" s="624"/>
    </row>
    <row r="514" spans="1:5" ht="12.3">
      <c r="A514" s="27"/>
      <c r="B514" s="27"/>
      <c r="D514" s="625"/>
      <c r="E514" s="624"/>
    </row>
    <row r="515" spans="1:5" ht="12.3">
      <c r="A515" s="27"/>
      <c r="B515" s="27"/>
      <c r="D515" s="625"/>
      <c r="E515" s="624"/>
    </row>
    <row r="516" spans="1:5" ht="12.3">
      <c r="A516" s="27"/>
      <c r="B516" s="27"/>
      <c r="D516" s="625"/>
      <c r="E516" s="624"/>
    </row>
    <row r="517" spans="1:5" ht="12.3">
      <c r="A517" s="27"/>
      <c r="B517" s="27"/>
      <c r="D517" s="625"/>
      <c r="E517" s="624"/>
    </row>
    <row r="518" spans="1:5" ht="12.3">
      <c r="A518" s="27"/>
      <c r="B518" s="27"/>
      <c r="D518" s="625"/>
      <c r="E518" s="624"/>
    </row>
    <row r="519" spans="1:5" ht="12.3">
      <c r="A519" s="27"/>
      <c r="B519" s="27"/>
      <c r="D519" s="625"/>
      <c r="E519" s="624"/>
    </row>
    <row r="520" spans="1:5" ht="12.3">
      <c r="A520" s="27"/>
      <c r="B520" s="27"/>
      <c r="D520" s="625"/>
      <c r="E520" s="624"/>
    </row>
    <row r="521" spans="1:5" ht="12.3">
      <c r="A521" s="27"/>
      <c r="B521" s="27"/>
      <c r="D521" s="625"/>
      <c r="E521" s="624"/>
    </row>
    <row r="522" spans="1:5" ht="12.3">
      <c r="A522" s="27"/>
      <c r="B522" s="27"/>
      <c r="D522" s="625"/>
      <c r="E522" s="624"/>
    </row>
    <row r="523" spans="1:5" ht="12.3">
      <c r="A523" s="27"/>
      <c r="B523" s="27"/>
      <c r="D523" s="625"/>
      <c r="E523" s="624"/>
    </row>
    <row r="524" spans="1:5" ht="12.3">
      <c r="A524" s="27"/>
      <c r="B524" s="27"/>
      <c r="D524" s="625"/>
      <c r="E524" s="624"/>
    </row>
    <row r="525" spans="1:5" ht="12.3">
      <c r="A525" s="27"/>
      <c r="B525" s="27"/>
      <c r="D525" s="625"/>
      <c r="E525" s="624"/>
    </row>
    <row r="526" spans="1:5" ht="12.3">
      <c r="A526" s="27"/>
      <c r="B526" s="27"/>
      <c r="D526" s="625"/>
      <c r="E526" s="624"/>
    </row>
    <row r="527" spans="1:5" ht="12.3">
      <c r="A527" s="27"/>
      <c r="B527" s="27"/>
      <c r="D527" s="625"/>
      <c r="E527" s="624"/>
    </row>
    <row r="528" spans="1:5" ht="12.3">
      <c r="A528" s="27"/>
      <c r="B528" s="27"/>
      <c r="D528" s="625"/>
      <c r="E528" s="624"/>
    </row>
    <row r="529" spans="1:5" ht="12.3">
      <c r="A529" s="27"/>
      <c r="B529" s="27"/>
      <c r="D529" s="625"/>
      <c r="E529" s="624"/>
    </row>
    <row r="530" spans="1:5" ht="12.3">
      <c r="A530" s="27"/>
      <c r="B530" s="27"/>
      <c r="D530" s="625"/>
      <c r="E530" s="624"/>
    </row>
    <row r="531" spans="1:5" ht="12.3">
      <c r="A531" s="27"/>
      <c r="B531" s="27"/>
      <c r="D531" s="625"/>
      <c r="E531" s="624"/>
    </row>
    <row r="532" spans="1:5" ht="12.3">
      <c r="A532" s="27"/>
      <c r="B532" s="27"/>
      <c r="D532" s="625"/>
      <c r="E532" s="624"/>
    </row>
    <row r="533" spans="1:5" ht="12.3">
      <c r="A533" s="27"/>
      <c r="B533" s="27"/>
      <c r="D533" s="625"/>
      <c r="E533" s="624"/>
    </row>
    <row r="534" spans="1:5" ht="12.3">
      <c r="A534" s="27"/>
      <c r="B534" s="27"/>
      <c r="D534" s="625"/>
      <c r="E534" s="624"/>
    </row>
    <row r="535" spans="1:5" ht="12.3">
      <c r="A535" s="27"/>
      <c r="B535" s="27"/>
      <c r="D535" s="625"/>
      <c r="E535" s="624"/>
    </row>
    <row r="536" spans="1:5" ht="12.3">
      <c r="A536" s="27"/>
      <c r="B536" s="27"/>
      <c r="D536" s="625"/>
      <c r="E536" s="624"/>
    </row>
    <row r="537" spans="1:5" ht="12.3">
      <c r="A537" s="27"/>
      <c r="B537" s="27"/>
      <c r="D537" s="625"/>
      <c r="E537" s="624"/>
    </row>
    <row r="538" spans="1:5" ht="12.3">
      <c r="A538" s="27"/>
      <c r="B538" s="27"/>
      <c r="D538" s="625"/>
      <c r="E538" s="624"/>
    </row>
    <row r="539" spans="1:5" ht="12.3">
      <c r="A539" s="27"/>
      <c r="B539" s="27"/>
      <c r="D539" s="625"/>
      <c r="E539" s="624"/>
    </row>
    <row r="540" spans="1:5" ht="12.3">
      <c r="A540" s="27"/>
      <c r="B540" s="27"/>
      <c r="D540" s="625"/>
      <c r="E540" s="624"/>
    </row>
    <row r="541" spans="1:5" ht="12.3">
      <c r="A541" s="27"/>
      <c r="B541" s="27"/>
      <c r="D541" s="625"/>
      <c r="E541" s="624"/>
    </row>
    <row r="542" spans="1:5" ht="12.3">
      <c r="A542" s="27"/>
      <c r="B542" s="27"/>
      <c r="D542" s="625"/>
      <c r="E542" s="624"/>
    </row>
    <row r="543" spans="1:5" ht="12.3">
      <c r="A543" s="27"/>
      <c r="B543" s="27"/>
      <c r="D543" s="625"/>
      <c r="E543" s="624"/>
    </row>
    <row r="544" spans="1:5" ht="12.3">
      <c r="A544" s="27"/>
      <c r="B544" s="27"/>
      <c r="D544" s="625"/>
      <c r="E544" s="624"/>
    </row>
    <row r="545" spans="1:5" ht="12.3">
      <c r="A545" s="27"/>
      <c r="B545" s="27"/>
      <c r="D545" s="625"/>
      <c r="E545" s="624"/>
    </row>
    <row r="546" spans="1:5" ht="12.3">
      <c r="A546" s="27"/>
      <c r="B546" s="27"/>
      <c r="D546" s="625"/>
      <c r="E546" s="624"/>
    </row>
    <row r="547" spans="1:5" ht="12.3">
      <c r="A547" s="27"/>
      <c r="B547" s="27"/>
      <c r="D547" s="625"/>
      <c r="E547" s="624"/>
    </row>
    <row r="548" spans="1:5" ht="12.3">
      <c r="A548" s="27"/>
      <c r="B548" s="27"/>
      <c r="D548" s="625"/>
      <c r="E548" s="624"/>
    </row>
    <row r="549" spans="1:5" ht="12.3">
      <c r="A549" s="27"/>
      <c r="B549" s="27"/>
      <c r="D549" s="625"/>
      <c r="E549" s="624"/>
    </row>
    <row r="550" spans="1:5" ht="12.3">
      <c r="A550" s="27"/>
      <c r="B550" s="27"/>
      <c r="D550" s="625"/>
      <c r="E550" s="624"/>
    </row>
    <row r="551" spans="1:5" ht="12.3">
      <c r="A551" s="27"/>
      <c r="B551" s="27"/>
      <c r="D551" s="625"/>
      <c r="E551" s="624"/>
    </row>
    <row r="552" spans="1:5" ht="12.3">
      <c r="A552" s="27"/>
      <c r="B552" s="27"/>
      <c r="D552" s="625"/>
      <c r="E552" s="624"/>
    </row>
    <row r="553" spans="1:5" ht="12.3">
      <c r="A553" s="27"/>
      <c r="B553" s="27"/>
      <c r="D553" s="625"/>
      <c r="E553" s="624"/>
    </row>
    <row r="554" spans="1:5" ht="12.3">
      <c r="A554" s="27"/>
      <c r="B554" s="27"/>
      <c r="D554" s="625"/>
      <c r="E554" s="624"/>
    </row>
    <row r="555" spans="1:5" ht="12.3">
      <c r="A555" s="27"/>
      <c r="B555" s="27"/>
      <c r="D555" s="625"/>
      <c r="E555" s="624"/>
    </row>
    <row r="556" spans="1:5" ht="12.3">
      <c r="A556" s="27"/>
      <c r="B556" s="27"/>
      <c r="D556" s="625"/>
      <c r="E556" s="624"/>
    </row>
    <row r="557" spans="1:5" ht="12.3">
      <c r="A557" s="27"/>
      <c r="B557" s="27"/>
      <c r="D557" s="625"/>
      <c r="E557" s="624"/>
    </row>
    <row r="558" spans="1:5" ht="12.3">
      <c r="A558" s="27"/>
      <c r="B558" s="27"/>
      <c r="D558" s="625"/>
      <c r="E558" s="624"/>
    </row>
    <row r="559" spans="1:5" ht="12.3">
      <c r="A559" s="27"/>
      <c r="B559" s="27"/>
      <c r="D559" s="625"/>
      <c r="E559" s="624"/>
    </row>
    <row r="560" spans="1:5" ht="12.3">
      <c r="A560" s="27"/>
      <c r="B560" s="27"/>
      <c r="D560" s="625"/>
      <c r="E560" s="624"/>
    </row>
    <row r="561" spans="1:5" ht="12.3">
      <c r="A561" s="27"/>
      <c r="B561" s="27"/>
      <c r="D561" s="625"/>
      <c r="E561" s="624"/>
    </row>
    <row r="562" spans="1:5" ht="12.3">
      <c r="A562" s="27"/>
      <c r="B562" s="27"/>
      <c r="D562" s="625"/>
      <c r="E562" s="624"/>
    </row>
    <row r="563" spans="1:5" ht="12.3">
      <c r="A563" s="27"/>
      <c r="B563" s="27"/>
      <c r="D563" s="625"/>
      <c r="E563" s="624"/>
    </row>
    <row r="564" spans="1:5" ht="12.3">
      <c r="A564" s="27"/>
      <c r="B564" s="27"/>
      <c r="D564" s="625"/>
      <c r="E564" s="624"/>
    </row>
    <row r="565" spans="1:5" ht="12.3">
      <c r="A565" s="27"/>
      <c r="B565" s="27"/>
      <c r="D565" s="625"/>
      <c r="E565" s="624"/>
    </row>
    <row r="566" spans="1:5" ht="12.3">
      <c r="A566" s="27"/>
      <c r="B566" s="27"/>
      <c r="D566" s="625"/>
      <c r="E566" s="624"/>
    </row>
    <row r="567" spans="1:5" ht="12.3">
      <c r="A567" s="27"/>
      <c r="B567" s="27"/>
      <c r="D567" s="625"/>
      <c r="E567" s="624"/>
    </row>
    <row r="568" spans="1:5" ht="12.3">
      <c r="A568" s="27"/>
      <c r="B568" s="27"/>
      <c r="D568" s="625"/>
      <c r="E568" s="624"/>
    </row>
    <row r="569" spans="1:5" ht="12.3">
      <c r="A569" s="27"/>
      <c r="B569" s="27"/>
      <c r="D569" s="625"/>
      <c r="E569" s="624"/>
    </row>
    <row r="570" spans="1:5" ht="12.3">
      <c r="A570" s="27"/>
      <c r="B570" s="27"/>
      <c r="D570" s="625"/>
      <c r="E570" s="624"/>
    </row>
    <row r="571" spans="1:5" ht="12.3">
      <c r="A571" s="27"/>
      <c r="B571" s="27"/>
      <c r="D571" s="625"/>
      <c r="E571" s="624"/>
    </row>
    <row r="572" spans="1:5" ht="12.3">
      <c r="A572" s="27"/>
      <c r="B572" s="27"/>
      <c r="D572" s="625"/>
      <c r="E572" s="624"/>
    </row>
    <row r="573" spans="1:5" ht="12.3">
      <c r="A573" s="27"/>
      <c r="B573" s="27"/>
      <c r="D573" s="625"/>
      <c r="E573" s="624"/>
    </row>
    <row r="574" spans="1:5" ht="12.3">
      <c r="A574" s="27"/>
      <c r="B574" s="27"/>
      <c r="D574" s="625"/>
      <c r="E574" s="624"/>
    </row>
    <row r="575" spans="1:5" ht="12.3">
      <c r="A575" s="27"/>
      <c r="B575" s="27"/>
      <c r="D575" s="625"/>
      <c r="E575" s="624"/>
    </row>
    <row r="576" spans="1:5" ht="12.3">
      <c r="A576" s="27"/>
      <c r="B576" s="27"/>
      <c r="D576" s="625"/>
      <c r="E576" s="624"/>
    </row>
    <row r="577" spans="1:5" ht="12.3">
      <c r="A577" s="27"/>
      <c r="B577" s="27"/>
      <c r="D577" s="625"/>
      <c r="E577" s="624"/>
    </row>
    <row r="578" spans="1:5" ht="12.3">
      <c r="A578" s="27"/>
      <c r="B578" s="27"/>
      <c r="D578" s="625"/>
      <c r="E578" s="624"/>
    </row>
    <row r="579" spans="1:5" ht="12.3">
      <c r="A579" s="27"/>
      <c r="B579" s="27"/>
      <c r="D579" s="625"/>
      <c r="E579" s="624"/>
    </row>
    <row r="580" spans="1:5" ht="12.3">
      <c r="A580" s="27"/>
      <c r="B580" s="27"/>
      <c r="D580" s="625"/>
      <c r="E580" s="624"/>
    </row>
    <row r="581" spans="1:5" ht="12.3">
      <c r="A581" s="27"/>
      <c r="B581" s="27"/>
      <c r="D581" s="625"/>
      <c r="E581" s="624"/>
    </row>
    <row r="582" spans="1:5" ht="12.3">
      <c r="A582" s="27"/>
      <c r="B582" s="27"/>
      <c r="D582" s="625"/>
      <c r="E582" s="624"/>
    </row>
    <row r="583" spans="1:5" ht="12.3">
      <c r="A583" s="27"/>
      <c r="B583" s="27"/>
      <c r="D583" s="625"/>
      <c r="E583" s="624"/>
    </row>
    <row r="584" spans="1:5" ht="12.3">
      <c r="A584" s="27"/>
      <c r="B584" s="27"/>
      <c r="D584" s="625"/>
      <c r="E584" s="624"/>
    </row>
    <row r="585" spans="1:5" ht="12.3">
      <c r="A585" s="27"/>
      <c r="B585" s="27"/>
      <c r="D585" s="625"/>
      <c r="E585" s="624"/>
    </row>
    <row r="586" spans="1:5" ht="12.3">
      <c r="A586" s="27"/>
      <c r="B586" s="27"/>
      <c r="D586" s="625"/>
      <c r="E586" s="624"/>
    </row>
    <row r="587" spans="1:5" ht="12.3">
      <c r="A587" s="27"/>
      <c r="B587" s="27"/>
      <c r="D587" s="625"/>
      <c r="E587" s="624"/>
    </row>
    <row r="588" spans="1:5" ht="12.3">
      <c r="A588" s="27"/>
      <c r="B588" s="27"/>
      <c r="D588" s="625"/>
      <c r="E588" s="624"/>
    </row>
    <row r="589" spans="1:5" ht="12.3">
      <c r="A589" s="27"/>
      <c r="B589" s="27"/>
      <c r="D589" s="625"/>
      <c r="E589" s="624"/>
    </row>
    <row r="590" spans="1:5" ht="12.3">
      <c r="A590" s="27"/>
      <c r="B590" s="27"/>
      <c r="D590" s="625"/>
      <c r="E590" s="624"/>
    </row>
    <row r="591" spans="1:5" ht="12.3">
      <c r="A591" s="27"/>
      <c r="B591" s="27"/>
      <c r="D591" s="625"/>
      <c r="E591" s="624"/>
    </row>
    <row r="592" spans="1:5" ht="12.3">
      <c r="A592" s="27"/>
      <c r="B592" s="27"/>
      <c r="D592" s="625"/>
      <c r="E592" s="624"/>
    </row>
    <row r="593" spans="1:5" ht="12.3">
      <c r="A593" s="27"/>
      <c r="B593" s="27"/>
      <c r="D593" s="625"/>
      <c r="E593" s="624"/>
    </row>
    <row r="594" spans="1:5" ht="12.3">
      <c r="A594" s="27"/>
      <c r="B594" s="27"/>
      <c r="D594" s="625"/>
      <c r="E594" s="624"/>
    </row>
    <row r="595" spans="1:5" ht="12.3">
      <c r="A595" s="27"/>
      <c r="B595" s="27"/>
      <c r="D595" s="625"/>
      <c r="E595" s="624"/>
    </row>
    <row r="596" spans="1:5" ht="12.3">
      <c r="A596" s="27"/>
      <c r="B596" s="27"/>
      <c r="D596" s="625"/>
      <c r="E596" s="624"/>
    </row>
    <row r="597" spans="1:5" ht="12.3">
      <c r="A597" s="27"/>
      <c r="B597" s="27"/>
      <c r="D597" s="625"/>
      <c r="E597" s="624"/>
    </row>
    <row r="598" spans="1:5" ht="12.3">
      <c r="A598" s="27"/>
      <c r="B598" s="27"/>
      <c r="D598" s="625"/>
      <c r="E598" s="624"/>
    </row>
    <row r="599" spans="1:5" ht="12.3">
      <c r="A599" s="27"/>
      <c r="B599" s="27"/>
      <c r="D599" s="625"/>
      <c r="E599" s="624"/>
    </row>
    <row r="600" spans="1:5" ht="12.3">
      <c r="A600" s="27"/>
      <c r="B600" s="27"/>
      <c r="D600" s="625"/>
      <c r="E600" s="624"/>
    </row>
    <row r="601" spans="1:5" ht="12.3">
      <c r="A601" s="27"/>
      <c r="B601" s="27"/>
      <c r="D601" s="625"/>
      <c r="E601" s="624"/>
    </row>
    <row r="602" spans="1:5" ht="12.3">
      <c r="A602" s="27"/>
      <c r="B602" s="27"/>
      <c r="D602" s="625"/>
      <c r="E602" s="624"/>
    </row>
    <row r="603" spans="1:5" ht="12.3">
      <c r="A603" s="27"/>
      <c r="B603" s="27"/>
      <c r="D603" s="625"/>
      <c r="E603" s="624"/>
    </row>
    <row r="604" spans="1:5" ht="12.3">
      <c r="A604" s="27"/>
      <c r="B604" s="27"/>
      <c r="D604" s="625"/>
      <c r="E604" s="624"/>
    </row>
    <row r="605" spans="1:5" ht="12.3">
      <c r="A605" s="27"/>
      <c r="B605" s="27"/>
      <c r="D605" s="625"/>
      <c r="E605" s="624"/>
    </row>
    <row r="606" spans="1:5" ht="12.3">
      <c r="A606" s="27"/>
      <c r="B606" s="27"/>
      <c r="D606" s="625"/>
      <c r="E606" s="624"/>
    </row>
    <row r="607" spans="1:5" ht="12.3">
      <c r="A607" s="27"/>
      <c r="B607" s="27"/>
      <c r="D607" s="625"/>
      <c r="E607" s="624"/>
    </row>
    <row r="608" spans="1:5" ht="12.3">
      <c r="A608" s="27"/>
      <c r="B608" s="27"/>
      <c r="D608" s="625"/>
      <c r="E608" s="624"/>
    </row>
    <row r="609" spans="1:5" ht="12.3">
      <c r="A609" s="27"/>
      <c r="B609" s="27"/>
      <c r="D609" s="625"/>
      <c r="E609" s="624"/>
    </row>
    <row r="610" spans="1:5" ht="12.3">
      <c r="A610" s="27"/>
      <c r="B610" s="27"/>
      <c r="D610" s="625"/>
      <c r="E610" s="624"/>
    </row>
    <row r="611" spans="1:5" ht="12.3">
      <c r="A611" s="27"/>
      <c r="B611" s="27"/>
      <c r="D611" s="625"/>
      <c r="E611" s="624"/>
    </row>
    <row r="612" spans="1:5" ht="12.3">
      <c r="A612" s="27"/>
      <c r="B612" s="27"/>
      <c r="D612" s="625"/>
      <c r="E612" s="624"/>
    </row>
    <row r="613" spans="1:5" ht="12.3">
      <c r="A613" s="27"/>
      <c r="B613" s="27"/>
      <c r="D613" s="625"/>
      <c r="E613" s="624"/>
    </row>
    <row r="614" spans="1:5" ht="12.3">
      <c r="A614" s="27"/>
      <c r="B614" s="27"/>
      <c r="D614" s="625"/>
      <c r="E614" s="624"/>
    </row>
    <row r="615" spans="1:5" ht="12.3">
      <c r="A615" s="27"/>
      <c r="B615" s="27"/>
      <c r="D615" s="625"/>
      <c r="E615" s="624"/>
    </row>
    <row r="616" spans="1:5" ht="12.3">
      <c r="A616" s="27"/>
      <c r="B616" s="27"/>
      <c r="D616" s="625"/>
      <c r="E616" s="624"/>
    </row>
    <row r="617" spans="1:5" ht="12.3">
      <c r="A617" s="27"/>
      <c r="B617" s="27"/>
      <c r="D617" s="625"/>
      <c r="E617" s="624"/>
    </row>
    <row r="618" spans="1:5" ht="12.3">
      <c r="A618" s="27"/>
      <c r="B618" s="27"/>
      <c r="D618" s="625"/>
      <c r="E618" s="624"/>
    </row>
    <row r="619" spans="1:5" ht="12.3">
      <c r="A619" s="27"/>
      <c r="B619" s="27"/>
      <c r="D619" s="625"/>
      <c r="E619" s="624"/>
    </row>
    <row r="620" spans="1:5" ht="12.3">
      <c r="A620" s="27"/>
      <c r="B620" s="27"/>
      <c r="D620" s="625"/>
      <c r="E620" s="624"/>
    </row>
    <row r="621" spans="1:5" ht="12.3">
      <c r="A621" s="27"/>
      <c r="B621" s="27"/>
      <c r="D621" s="625"/>
      <c r="E621" s="624"/>
    </row>
    <row r="622" spans="1:5" ht="12.3">
      <c r="A622" s="27"/>
      <c r="B622" s="27"/>
      <c r="D622" s="625"/>
      <c r="E622" s="624"/>
    </row>
    <row r="623" spans="1:5" ht="12.3">
      <c r="A623" s="27"/>
      <c r="B623" s="27"/>
      <c r="D623" s="625"/>
      <c r="E623" s="624"/>
    </row>
    <row r="624" spans="1:5" ht="12.3">
      <c r="A624" s="27"/>
      <c r="B624" s="27"/>
      <c r="D624" s="625"/>
      <c r="E624" s="624"/>
    </row>
    <row r="625" spans="1:5" ht="12.3">
      <c r="A625" s="27"/>
      <c r="B625" s="27"/>
      <c r="D625" s="625"/>
      <c r="E625" s="624"/>
    </row>
    <row r="626" spans="1:5" ht="12.3">
      <c r="A626" s="27"/>
      <c r="B626" s="27"/>
      <c r="D626" s="625"/>
      <c r="E626" s="624"/>
    </row>
    <row r="627" spans="1:5" ht="12.3">
      <c r="A627" s="27"/>
      <c r="B627" s="27"/>
      <c r="D627" s="625"/>
      <c r="E627" s="624"/>
    </row>
    <row r="628" spans="1:5" ht="12.3">
      <c r="A628" s="27"/>
      <c r="B628" s="27"/>
      <c r="D628" s="625"/>
      <c r="E628" s="624"/>
    </row>
    <row r="629" spans="1:5" ht="12.3">
      <c r="A629" s="27"/>
      <c r="B629" s="27"/>
      <c r="D629" s="625"/>
      <c r="E629" s="624"/>
    </row>
    <row r="630" spans="1:5" ht="12.3">
      <c r="A630" s="27"/>
      <c r="B630" s="27"/>
      <c r="D630" s="625"/>
      <c r="E630" s="624"/>
    </row>
    <row r="631" spans="1:5" ht="12.3">
      <c r="A631" s="27"/>
      <c r="B631" s="27"/>
      <c r="D631" s="625"/>
      <c r="E631" s="624"/>
    </row>
    <row r="632" spans="1:5" ht="12.3">
      <c r="A632" s="27"/>
      <c r="B632" s="27"/>
      <c r="D632" s="625"/>
      <c r="E632" s="624"/>
    </row>
    <row r="633" spans="1:5" ht="12.3">
      <c r="A633" s="27"/>
      <c r="B633" s="27"/>
      <c r="D633" s="625"/>
      <c r="E633" s="624"/>
    </row>
    <row r="634" spans="1:5" ht="12.3">
      <c r="A634" s="27"/>
      <c r="B634" s="27"/>
      <c r="D634" s="625"/>
      <c r="E634" s="624"/>
    </row>
    <row r="635" spans="1:5" ht="12.3">
      <c r="A635" s="27"/>
      <c r="B635" s="27"/>
      <c r="D635" s="625"/>
      <c r="E635" s="624"/>
    </row>
    <row r="636" spans="1:5" ht="12.3">
      <c r="A636" s="27"/>
      <c r="B636" s="27"/>
      <c r="D636" s="625"/>
      <c r="E636" s="624"/>
    </row>
    <row r="637" spans="1:5" ht="12.3">
      <c r="A637" s="27"/>
      <c r="B637" s="27"/>
      <c r="D637" s="625"/>
      <c r="E637" s="624"/>
    </row>
    <row r="638" spans="1:5" ht="12.3">
      <c r="A638" s="27"/>
      <c r="B638" s="27"/>
      <c r="D638" s="625"/>
      <c r="E638" s="624"/>
    </row>
    <row r="639" spans="1:5" ht="12.3">
      <c r="A639" s="27"/>
      <c r="B639" s="27"/>
      <c r="D639" s="625"/>
      <c r="E639" s="624"/>
    </row>
    <row r="640" spans="1:5" ht="12.3">
      <c r="A640" s="27"/>
      <c r="B640" s="27"/>
      <c r="D640" s="625"/>
      <c r="E640" s="624"/>
    </row>
    <row r="641" spans="1:5" ht="12.3">
      <c r="A641" s="27"/>
      <c r="B641" s="27"/>
      <c r="D641" s="625"/>
      <c r="E641" s="624"/>
    </row>
    <row r="642" spans="1:5" ht="12.3">
      <c r="A642" s="27"/>
      <c r="B642" s="27"/>
      <c r="D642" s="625"/>
      <c r="E642" s="624"/>
    </row>
    <row r="643" spans="1:5" ht="12.3">
      <c r="A643" s="27"/>
      <c r="B643" s="27"/>
      <c r="D643" s="625"/>
      <c r="E643" s="624"/>
    </row>
    <row r="644" spans="1:5" ht="12.3">
      <c r="A644" s="27"/>
      <c r="B644" s="27"/>
      <c r="D644" s="625"/>
      <c r="E644" s="624"/>
    </row>
    <row r="645" spans="1:5" ht="12.3">
      <c r="A645" s="27"/>
      <c r="B645" s="27"/>
      <c r="D645" s="625"/>
      <c r="E645" s="624"/>
    </row>
    <row r="646" spans="1:5" ht="12.3">
      <c r="A646" s="27"/>
      <c r="B646" s="27"/>
      <c r="D646" s="625"/>
      <c r="E646" s="624"/>
    </row>
    <row r="647" spans="1:5" ht="12.3">
      <c r="A647" s="27"/>
      <c r="B647" s="27"/>
      <c r="D647" s="625"/>
      <c r="E647" s="624"/>
    </row>
    <row r="648" spans="1:5" ht="12.3">
      <c r="A648" s="27"/>
      <c r="B648" s="27"/>
      <c r="D648" s="625"/>
      <c r="E648" s="624"/>
    </row>
    <row r="649" spans="1:5" ht="12.3">
      <c r="A649" s="27"/>
      <c r="B649" s="27"/>
      <c r="D649" s="625"/>
      <c r="E649" s="624"/>
    </row>
    <row r="650" spans="1:5" ht="12.3">
      <c r="A650" s="27"/>
      <c r="B650" s="27"/>
      <c r="D650" s="625"/>
      <c r="E650" s="624"/>
    </row>
    <row r="651" spans="1:5" ht="12.3">
      <c r="A651" s="27"/>
      <c r="B651" s="27"/>
      <c r="D651" s="625"/>
      <c r="E651" s="624"/>
    </row>
    <row r="652" spans="1:5" ht="12.3">
      <c r="A652" s="27"/>
      <c r="B652" s="27"/>
      <c r="D652" s="625"/>
      <c r="E652" s="624"/>
    </row>
    <row r="653" spans="1:5" ht="12.3">
      <c r="A653" s="27"/>
      <c r="B653" s="27"/>
      <c r="D653" s="625"/>
      <c r="E653" s="624"/>
    </row>
    <row r="654" spans="1:5" ht="12.3">
      <c r="A654" s="27"/>
      <c r="B654" s="27"/>
      <c r="D654" s="625"/>
      <c r="E654" s="624"/>
    </row>
    <row r="655" spans="1:5" ht="12.3">
      <c r="A655" s="27"/>
      <c r="B655" s="27"/>
      <c r="D655" s="625"/>
      <c r="E655" s="624"/>
    </row>
    <row r="656" spans="1:5" ht="12.3">
      <c r="A656" s="27"/>
      <c r="B656" s="27"/>
      <c r="D656" s="625"/>
      <c r="E656" s="624"/>
    </row>
    <row r="657" spans="1:5" ht="12.3">
      <c r="A657" s="27"/>
      <c r="B657" s="27"/>
      <c r="D657" s="625"/>
      <c r="E657" s="624"/>
    </row>
    <row r="658" spans="1:5" ht="12.3">
      <c r="A658" s="27"/>
      <c r="B658" s="27"/>
      <c r="D658" s="625"/>
      <c r="E658" s="624"/>
    </row>
    <row r="659" spans="1:5" ht="12.3">
      <c r="A659" s="27"/>
      <c r="B659" s="27"/>
      <c r="D659" s="625"/>
      <c r="E659" s="624"/>
    </row>
    <row r="660" spans="1:5" ht="12.3">
      <c r="A660" s="27"/>
      <c r="B660" s="27"/>
      <c r="D660" s="625"/>
      <c r="E660" s="624"/>
    </row>
    <row r="661" spans="1:5" ht="12.3">
      <c r="A661" s="27"/>
      <c r="B661" s="27"/>
      <c r="D661" s="625"/>
      <c r="E661" s="624"/>
    </row>
    <row r="662" spans="1:5" ht="12.3">
      <c r="A662" s="27"/>
      <c r="B662" s="27"/>
      <c r="D662" s="625"/>
      <c r="E662" s="624"/>
    </row>
    <row r="663" spans="1:5" ht="12.3">
      <c r="A663" s="27"/>
      <c r="B663" s="27"/>
      <c r="D663" s="625"/>
      <c r="E663" s="624"/>
    </row>
    <row r="664" spans="1:5" ht="12.3">
      <c r="A664" s="27"/>
      <c r="B664" s="27"/>
      <c r="D664" s="625"/>
      <c r="E664" s="624"/>
    </row>
    <row r="665" spans="1:5" ht="12.3">
      <c r="A665" s="27"/>
      <c r="B665" s="27"/>
      <c r="D665" s="625"/>
      <c r="E665" s="624"/>
    </row>
    <row r="666" spans="1:5" ht="12.3">
      <c r="A666" s="27"/>
      <c r="B666" s="27"/>
      <c r="D666" s="625"/>
      <c r="E666" s="624"/>
    </row>
    <row r="667" spans="1:5" ht="12.3">
      <c r="A667" s="27"/>
      <c r="B667" s="27"/>
      <c r="D667" s="625"/>
      <c r="E667" s="624"/>
    </row>
    <row r="668" spans="1:5" ht="12.3">
      <c r="A668" s="27"/>
      <c r="B668" s="27"/>
      <c r="D668" s="625"/>
      <c r="E668" s="624"/>
    </row>
    <row r="669" spans="1:5" ht="12.3">
      <c r="A669" s="27"/>
      <c r="B669" s="27"/>
      <c r="D669" s="625"/>
      <c r="E669" s="624"/>
    </row>
    <row r="670" spans="1:5" ht="12.3">
      <c r="A670" s="27"/>
      <c r="B670" s="27"/>
      <c r="D670" s="625"/>
      <c r="E670" s="624"/>
    </row>
    <row r="671" spans="1:5" ht="12.3">
      <c r="A671" s="27"/>
      <c r="B671" s="27"/>
      <c r="D671" s="625"/>
      <c r="E671" s="624"/>
    </row>
    <row r="672" spans="1:5" ht="12.3">
      <c r="A672" s="27"/>
      <c r="B672" s="27"/>
      <c r="D672" s="625"/>
      <c r="E672" s="624"/>
    </row>
    <row r="673" spans="1:5" ht="12.3">
      <c r="A673" s="27"/>
      <c r="B673" s="27"/>
      <c r="D673" s="625"/>
      <c r="E673" s="624"/>
    </row>
    <row r="674" spans="1:5" ht="12.3">
      <c r="A674" s="27"/>
      <c r="B674" s="27"/>
      <c r="D674" s="625"/>
      <c r="E674" s="624"/>
    </row>
    <row r="675" spans="1:5" ht="12.3">
      <c r="A675" s="27"/>
      <c r="B675" s="27"/>
      <c r="D675" s="625"/>
      <c r="E675" s="624"/>
    </row>
    <row r="676" spans="1:5" ht="12.3">
      <c r="A676" s="27"/>
      <c r="B676" s="27"/>
      <c r="D676" s="625"/>
      <c r="E676" s="624"/>
    </row>
    <row r="677" spans="1:5" ht="12.3">
      <c r="A677" s="27"/>
      <c r="B677" s="27"/>
      <c r="D677" s="625"/>
      <c r="E677" s="624"/>
    </row>
    <row r="678" spans="1:5" ht="12.3">
      <c r="A678" s="27"/>
      <c r="B678" s="27"/>
      <c r="D678" s="625"/>
      <c r="E678" s="624"/>
    </row>
    <row r="679" spans="1:5" ht="12.3">
      <c r="A679" s="27"/>
      <c r="B679" s="27"/>
      <c r="D679" s="625"/>
      <c r="E679" s="624"/>
    </row>
    <row r="680" spans="1:5" ht="12.3">
      <c r="A680" s="27"/>
      <c r="B680" s="27"/>
      <c r="D680" s="625"/>
      <c r="E680" s="624"/>
    </row>
    <row r="681" spans="1:5" ht="12.3">
      <c r="A681" s="27"/>
      <c r="B681" s="27"/>
      <c r="D681" s="625"/>
      <c r="E681" s="624"/>
    </row>
    <row r="682" spans="1:5" ht="12.3">
      <c r="A682" s="27"/>
      <c r="B682" s="27"/>
      <c r="D682" s="625"/>
      <c r="E682" s="624"/>
    </row>
    <row r="683" spans="1:5" ht="12.3">
      <c r="A683" s="27"/>
      <c r="B683" s="27"/>
      <c r="D683" s="625"/>
      <c r="E683" s="624"/>
    </row>
    <row r="684" spans="1:5" ht="12.3">
      <c r="A684" s="27"/>
      <c r="B684" s="27"/>
      <c r="D684" s="625"/>
      <c r="E684" s="624"/>
    </row>
    <row r="685" spans="1:5" ht="12.3">
      <c r="A685" s="27"/>
      <c r="B685" s="27"/>
      <c r="D685" s="625"/>
      <c r="E685" s="624"/>
    </row>
    <row r="686" spans="1:5" ht="12.3">
      <c r="A686" s="27"/>
      <c r="B686" s="27"/>
      <c r="D686" s="625"/>
      <c r="E686" s="624"/>
    </row>
    <row r="687" spans="1:5" ht="12.3">
      <c r="A687" s="27"/>
      <c r="B687" s="27"/>
      <c r="D687" s="625"/>
      <c r="E687" s="624"/>
    </row>
    <row r="688" spans="1:5" ht="12.3">
      <c r="A688" s="27"/>
      <c r="B688" s="27"/>
      <c r="D688" s="625"/>
      <c r="E688" s="624"/>
    </row>
    <row r="689" spans="1:5" ht="12.3">
      <c r="A689" s="27"/>
      <c r="B689" s="27"/>
      <c r="D689" s="625"/>
      <c r="E689" s="624"/>
    </row>
    <row r="690" spans="1:5" ht="12.3">
      <c r="A690" s="27"/>
      <c r="B690" s="27"/>
      <c r="D690" s="625"/>
      <c r="E690" s="624"/>
    </row>
    <row r="691" spans="1:5" ht="12.3">
      <c r="A691" s="27"/>
      <c r="B691" s="27"/>
      <c r="D691" s="625"/>
      <c r="E691" s="624"/>
    </row>
    <row r="692" spans="1:5" ht="12.3">
      <c r="A692" s="27"/>
      <c r="B692" s="27"/>
      <c r="D692" s="625"/>
      <c r="E692" s="624"/>
    </row>
    <row r="693" spans="1:5" ht="12.3">
      <c r="A693" s="27"/>
      <c r="B693" s="27"/>
      <c r="D693" s="625"/>
      <c r="E693" s="624"/>
    </row>
    <row r="694" spans="1:5" ht="12.3">
      <c r="A694" s="27"/>
      <c r="B694" s="27"/>
      <c r="D694" s="625"/>
      <c r="E694" s="624"/>
    </row>
    <row r="695" spans="1:5" ht="12.3">
      <c r="A695" s="27"/>
      <c r="B695" s="27"/>
      <c r="D695" s="625"/>
      <c r="E695" s="624"/>
    </row>
    <row r="696" spans="1:5" ht="12.3">
      <c r="A696" s="27"/>
      <c r="B696" s="27"/>
      <c r="D696" s="625"/>
      <c r="E696" s="624"/>
    </row>
    <row r="697" spans="1:5" ht="12.3">
      <c r="A697" s="27"/>
      <c r="B697" s="27"/>
      <c r="D697" s="625"/>
      <c r="E697" s="624"/>
    </row>
    <row r="698" spans="1:5" ht="12.3">
      <c r="A698" s="27"/>
      <c r="B698" s="27"/>
      <c r="D698" s="625"/>
      <c r="E698" s="624"/>
    </row>
    <row r="699" spans="1:5" ht="12.3">
      <c r="A699" s="27"/>
      <c r="B699" s="27"/>
      <c r="D699" s="625"/>
      <c r="E699" s="624"/>
    </row>
    <row r="700" spans="1:5" ht="12.3">
      <c r="A700" s="27"/>
      <c r="B700" s="27"/>
      <c r="D700" s="625"/>
      <c r="E700" s="624"/>
    </row>
    <row r="701" spans="1:5" ht="12.3">
      <c r="A701" s="27"/>
      <c r="B701" s="27"/>
      <c r="D701" s="625"/>
      <c r="E701" s="624"/>
    </row>
    <row r="702" spans="1:5" ht="12.3">
      <c r="A702" s="27"/>
      <c r="B702" s="27"/>
      <c r="D702" s="625"/>
      <c r="E702" s="624"/>
    </row>
    <row r="703" spans="1:5" ht="12.3">
      <c r="A703" s="27"/>
      <c r="B703" s="27"/>
      <c r="D703" s="625"/>
      <c r="E703" s="624"/>
    </row>
    <row r="704" spans="1:5" ht="12.3">
      <c r="A704" s="27"/>
      <c r="B704" s="27"/>
      <c r="D704" s="625"/>
      <c r="E704" s="624"/>
    </row>
    <row r="705" spans="1:5" ht="12.3">
      <c r="A705" s="27"/>
      <c r="B705" s="27"/>
      <c r="D705" s="625"/>
      <c r="E705" s="624"/>
    </row>
    <row r="706" spans="1:5" ht="12.3">
      <c r="A706" s="27"/>
      <c r="B706" s="27"/>
      <c r="D706" s="625"/>
      <c r="E706" s="624"/>
    </row>
    <row r="707" spans="1:5" ht="12.3">
      <c r="A707" s="27"/>
      <c r="B707" s="27"/>
      <c r="D707" s="625"/>
      <c r="E707" s="624"/>
    </row>
    <row r="708" spans="1:5" ht="12.3">
      <c r="A708" s="27"/>
      <c r="B708" s="27"/>
      <c r="D708" s="625"/>
      <c r="E708" s="624"/>
    </row>
    <row r="709" spans="1:5" ht="12.3">
      <c r="A709" s="27"/>
      <c r="B709" s="27"/>
      <c r="D709" s="625"/>
      <c r="E709" s="624"/>
    </row>
    <row r="710" spans="1:5" ht="12.3">
      <c r="A710" s="27"/>
      <c r="B710" s="27"/>
      <c r="D710" s="625"/>
      <c r="E710" s="624"/>
    </row>
    <row r="711" spans="1:5" ht="12.3">
      <c r="A711" s="27"/>
      <c r="B711" s="27"/>
      <c r="D711" s="625"/>
      <c r="E711" s="624"/>
    </row>
    <row r="712" spans="1:5" ht="12.3">
      <c r="A712" s="27"/>
      <c r="B712" s="27"/>
      <c r="D712" s="625"/>
      <c r="E712" s="624"/>
    </row>
    <row r="713" spans="1:5" ht="12.3">
      <c r="A713" s="27"/>
      <c r="B713" s="27"/>
      <c r="D713" s="625"/>
      <c r="E713" s="624"/>
    </row>
    <row r="714" spans="1:5" ht="12.3">
      <c r="A714" s="27"/>
      <c r="B714" s="27"/>
      <c r="D714" s="625"/>
      <c r="E714" s="624"/>
    </row>
    <row r="715" spans="1:5" ht="12.3">
      <c r="A715" s="27"/>
      <c r="B715" s="27"/>
      <c r="D715" s="625"/>
      <c r="E715" s="624"/>
    </row>
    <row r="716" spans="1:5" ht="12.3">
      <c r="A716" s="27"/>
      <c r="B716" s="27"/>
      <c r="D716" s="625"/>
      <c r="E716" s="624"/>
    </row>
    <row r="717" spans="1:5" ht="12.3">
      <c r="A717" s="27"/>
      <c r="B717" s="27"/>
      <c r="D717" s="625"/>
      <c r="E717" s="624"/>
    </row>
    <row r="718" spans="1:5" ht="12.3">
      <c r="A718" s="27"/>
      <c r="B718" s="27"/>
      <c r="D718" s="625"/>
      <c r="E718" s="624"/>
    </row>
    <row r="719" spans="1:5" ht="12.3">
      <c r="A719" s="27"/>
      <c r="B719" s="27"/>
      <c r="D719" s="625"/>
      <c r="E719" s="624"/>
    </row>
    <row r="720" spans="1:5" ht="12.3">
      <c r="A720" s="27"/>
      <c r="B720" s="27"/>
      <c r="D720" s="625"/>
      <c r="E720" s="624"/>
    </row>
    <row r="721" spans="1:5" ht="12.3">
      <c r="A721" s="27"/>
      <c r="B721" s="27"/>
      <c r="D721" s="625"/>
      <c r="E721" s="624"/>
    </row>
    <row r="722" spans="1:5" ht="12.3">
      <c r="A722" s="27"/>
      <c r="B722" s="27"/>
      <c r="D722" s="625"/>
      <c r="E722" s="624"/>
    </row>
    <row r="723" spans="1:5" ht="12.3">
      <c r="A723" s="27"/>
      <c r="B723" s="27"/>
      <c r="D723" s="625"/>
      <c r="E723" s="624"/>
    </row>
    <row r="724" spans="1:5" ht="12.3">
      <c r="A724" s="27"/>
      <c r="B724" s="27"/>
      <c r="D724" s="625"/>
      <c r="E724" s="624"/>
    </row>
    <row r="725" spans="1:5" ht="12.3">
      <c r="A725" s="27"/>
      <c r="B725" s="27"/>
      <c r="D725" s="625"/>
      <c r="E725" s="624"/>
    </row>
    <row r="726" spans="1:5" ht="12.3">
      <c r="A726" s="27"/>
      <c r="B726" s="27"/>
      <c r="D726" s="625"/>
      <c r="E726" s="624"/>
    </row>
    <row r="727" spans="1:5" ht="12.3">
      <c r="A727" s="27"/>
      <c r="B727" s="27"/>
      <c r="D727" s="625"/>
      <c r="E727" s="624"/>
    </row>
    <row r="728" spans="1:5" ht="12.3">
      <c r="A728" s="27"/>
      <c r="B728" s="27"/>
      <c r="D728" s="625"/>
      <c r="E728" s="624"/>
    </row>
    <row r="729" spans="1:5" ht="12.3">
      <c r="A729" s="27"/>
      <c r="B729" s="27"/>
      <c r="D729" s="625"/>
      <c r="E729" s="624"/>
    </row>
    <row r="730" spans="1:5" ht="12.3">
      <c r="A730" s="27"/>
      <c r="B730" s="27"/>
      <c r="D730" s="625"/>
      <c r="E730" s="624"/>
    </row>
    <row r="731" spans="1:5" ht="12.3">
      <c r="A731" s="27"/>
      <c r="B731" s="27"/>
      <c r="D731" s="625"/>
      <c r="E731" s="624"/>
    </row>
    <row r="732" spans="1:5" ht="12.3">
      <c r="A732" s="27"/>
      <c r="B732" s="27"/>
      <c r="D732" s="625"/>
      <c r="E732" s="624"/>
    </row>
    <row r="733" spans="1:5" ht="12.3">
      <c r="A733" s="27"/>
      <c r="B733" s="27"/>
      <c r="D733" s="625"/>
      <c r="E733" s="624"/>
    </row>
    <row r="734" spans="1:5" ht="12.3">
      <c r="A734" s="27"/>
      <c r="B734" s="27"/>
      <c r="D734" s="625"/>
      <c r="E734" s="624"/>
    </row>
    <row r="735" spans="1:5" ht="12.3">
      <c r="A735" s="27"/>
      <c r="B735" s="27"/>
      <c r="D735" s="625"/>
      <c r="E735" s="624"/>
    </row>
    <row r="736" spans="1:5" ht="12.3">
      <c r="A736" s="27"/>
      <c r="B736" s="27"/>
      <c r="D736" s="625"/>
      <c r="E736" s="624"/>
    </row>
    <row r="737" spans="1:5" ht="12.3">
      <c r="A737" s="27"/>
      <c r="B737" s="27"/>
      <c r="D737" s="625"/>
      <c r="E737" s="624"/>
    </row>
    <row r="738" spans="1:5" ht="12.3">
      <c r="A738" s="27"/>
      <c r="B738" s="27"/>
      <c r="D738" s="625"/>
      <c r="E738" s="624"/>
    </row>
    <row r="739" spans="1:5" ht="12.3">
      <c r="A739" s="27"/>
      <c r="B739" s="27"/>
      <c r="D739" s="625"/>
      <c r="E739" s="624"/>
    </row>
    <row r="740" spans="1:5" ht="12.3">
      <c r="A740" s="27"/>
      <c r="B740" s="27"/>
      <c r="D740" s="625"/>
      <c r="E740" s="624"/>
    </row>
    <row r="741" spans="1:5" ht="12.3">
      <c r="A741" s="27"/>
      <c r="B741" s="27"/>
      <c r="D741" s="625"/>
      <c r="E741" s="624"/>
    </row>
    <row r="742" spans="1:5" ht="12.3">
      <c r="A742" s="27"/>
      <c r="B742" s="27"/>
      <c r="D742" s="625"/>
      <c r="E742" s="624"/>
    </row>
    <row r="743" spans="1:5" ht="12.3">
      <c r="A743" s="27"/>
      <c r="B743" s="27"/>
      <c r="D743" s="625"/>
      <c r="E743" s="624"/>
    </row>
    <row r="744" spans="1:5" ht="12.3">
      <c r="A744" s="27"/>
      <c r="B744" s="27"/>
      <c r="D744" s="625"/>
      <c r="E744" s="624"/>
    </row>
    <row r="745" spans="1:5" ht="12.3">
      <c r="A745" s="27"/>
      <c r="B745" s="27"/>
      <c r="D745" s="625"/>
      <c r="E745" s="624"/>
    </row>
    <row r="746" spans="1:5" ht="12.3">
      <c r="A746" s="27"/>
      <c r="B746" s="27"/>
      <c r="D746" s="625"/>
      <c r="E746" s="624"/>
    </row>
    <row r="747" spans="1:5" ht="12.3">
      <c r="A747" s="27"/>
      <c r="B747" s="27"/>
      <c r="D747" s="625"/>
      <c r="E747" s="624"/>
    </row>
    <row r="748" spans="1:5" ht="12.3">
      <c r="A748" s="27"/>
      <c r="B748" s="27"/>
      <c r="D748" s="625"/>
      <c r="E748" s="624"/>
    </row>
    <row r="749" spans="1:5" ht="12.3">
      <c r="A749" s="27"/>
      <c r="B749" s="27"/>
      <c r="D749" s="625"/>
      <c r="E749" s="624"/>
    </row>
    <row r="750" spans="1:5" ht="12.3">
      <c r="A750" s="27"/>
      <c r="B750" s="27"/>
      <c r="D750" s="625"/>
      <c r="E750" s="624"/>
    </row>
    <row r="751" spans="1:5" ht="12.3">
      <c r="A751" s="27"/>
      <c r="B751" s="27"/>
      <c r="D751" s="625"/>
      <c r="E751" s="624"/>
    </row>
    <row r="752" spans="1:5" ht="12.3">
      <c r="A752" s="27"/>
      <c r="B752" s="27"/>
      <c r="D752" s="625"/>
      <c r="E752" s="624"/>
    </row>
    <row r="753" spans="1:5" ht="12.3">
      <c r="A753" s="27"/>
      <c r="B753" s="27"/>
      <c r="D753" s="625"/>
      <c r="E753" s="624"/>
    </row>
    <row r="754" spans="1:5" ht="12.3">
      <c r="A754" s="27"/>
      <c r="B754" s="27"/>
      <c r="D754" s="625"/>
      <c r="E754" s="624"/>
    </row>
    <row r="755" spans="1:5" ht="12.3">
      <c r="A755" s="27"/>
      <c r="B755" s="27"/>
      <c r="D755" s="625"/>
      <c r="E755" s="624"/>
    </row>
    <row r="756" spans="1:5" ht="12.3">
      <c r="A756" s="27"/>
      <c r="B756" s="27"/>
      <c r="D756" s="625"/>
      <c r="E756" s="624"/>
    </row>
    <row r="757" spans="1:5" ht="12.3">
      <c r="A757" s="27"/>
      <c r="B757" s="27"/>
      <c r="D757" s="625"/>
      <c r="E757" s="624"/>
    </row>
    <row r="758" spans="1:5" ht="12.3">
      <c r="A758" s="27"/>
      <c r="B758" s="27"/>
      <c r="D758" s="625"/>
      <c r="E758" s="624"/>
    </row>
    <row r="759" spans="1:5" ht="12.3">
      <c r="A759" s="27"/>
      <c r="B759" s="27"/>
      <c r="D759" s="625"/>
      <c r="E759" s="624"/>
    </row>
    <row r="760" spans="1:5" ht="12.3">
      <c r="A760" s="27"/>
      <c r="B760" s="27"/>
      <c r="D760" s="625"/>
      <c r="E760" s="624"/>
    </row>
    <row r="761" spans="1:5" ht="12.3">
      <c r="A761" s="27"/>
      <c r="B761" s="27"/>
      <c r="D761" s="625"/>
      <c r="E761" s="624"/>
    </row>
    <row r="762" spans="1:5" ht="12.3">
      <c r="A762" s="27"/>
      <c r="B762" s="27"/>
      <c r="D762" s="625"/>
      <c r="E762" s="624"/>
    </row>
    <row r="763" spans="1:5" ht="12.3">
      <c r="A763" s="27"/>
      <c r="B763" s="27"/>
      <c r="D763" s="625"/>
      <c r="E763" s="624"/>
    </row>
    <row r="764" spans="1:5" ht="12.3">
      <c r="A764" s="27"/>
      <c r="B764" s="27"/>
      <c r="D764" s="625"/>
      <c r="E764" s="624"/>
    </row>
    <row r="765" spans="1:5" ht="12.3">
      <c r="A765" s="27"/>
      <c r="B765" s="27"/>
      <c r="D765" s="625"/>
      <c r="E765" s="624"/>
    </row>
    <row r="766" spans="1:5" ht="12.3">
      <c r="A766" s="27"/>
      <c r="B766" s="27"/>
      <c r="D766" s="625"/>
      <c r="E766" s="624"/>
    </row>
    <row r="767" spans="1:5" ht="12.3">
      <c r="A767" s="27"/>
      <c r="B767" s="27"/>
      <c r="D767" s="625"/>
      <c r="E767" s="624"/>
    </row>
    <row r="768" spans="1:5" ht="12.3">
      <c r="A768" s="27"/>
      <c r="B768" s="27"/>
      <c r="D768" s="625"/>
      <c r="E768" s="624"/>
    </row>
    <row r="769" spans="1:5" ht="12.3">
      <c r="A769" s="27"/>
      <c r="B769" s="27"/>
      <c r="D769" s="625"/>
      <c r="E769" s="624"/>
    </row>
    <row r="770" spans="1:5" ht="12.3">
      <c r="A770" s="27"/>
      <c r="B770" s="27"/>
      <c r="D770" s="625"/>
      <c r="E770" s="624"/>
    </row>
    <row r="771" spans="1:5" ht="12.3">
      <c r="A771" s="27"/>
      <c r="B771" s="27"/>
      <c r="D771" s="625"/>
      <c r="E771" s="624"/>
    </row>
    <row r="772" spans="1:5" ht="12.3">
      <c r="A772" s="27"/>
      <c r="B772" s="27"/>
      <c r="D772" s="625"/>
      <c r="E772" s="624"/>
    </row>
    <row r="773" spans="1:5" ht="12.3">
      <c r="A773" s="27"/>
      <c r="B773" s="27"/>
      <c r="D773" s="625"/>
      <c r="E773" s="624"/>
    </row>
    <row r="774" spans="1:5" ht="12.3">
      <c r="A774" s="27"/>
      <c r="B774" s="27"/>
      <c r="D774" s="625"/>
      <c r="E774" s="624"/>
    </row>
    <row r="775" spans="1:5" ht="12.3">
      <c r="A775" s="27"/>
      <c r="B775" s="27"/>
      <c r="D775" s="625"/>
      <c r="E775" s="624"/>
    </row>
    <row r="776" spans="1:5" ht="12.3">
      <c r="A776" s="27"/>
      <c r="B776" s="27"/>
      <c r="D776" s="625"/>
      <c r="E776" s="624"/>
    </row>
    <row r="777" spans="1:5" ht="12.3">
      <c r="A777" s="27"/>
      <c r="B777" s="27"/>
      <c r="D777" s="625"/>
      <c r="E777" s="624"/>
    </row>
    <row r="778" spans="1:5" ht="12.3">
      <c r="A778" s="27"/>
      <c r="B778" s="27"/>
      <c r="D778" s="625"/>
      <c r="E778" s="624"/>
    </row>
    <row r="779" spans="1:5" ht="12.3">
      <c r="A779" s="27"/>
      <c r="B779" s="27"/>
      <c r="D779" s="625"/>
      <c r="E779" s="624"/>
    </row>
    <row r="780" spans="1:5" ht="12.3">
      <c r="A780" s="27"/>
      <c r="B780" s="27"/>
      <c r="D780" s="625"/>
      <c r="E780" s="624"/>
    </row>
    <row r="781" spans="1:5" ht="12.3">
      <c r="A781" s="27"/>
      <c r="B781" s="27"/>
      <c r="D781" s="625"/>
      <c r="E781" s="624"/>
    </row>
    <row r="782" spans="1:5" ht="12.3">
      <c r="A782" s="27"/>
      <c r="B782" s="27"/>
      <c r="D782" s="625"/>
      <c r="E782" s="624"/>
    </row>
    <row r="783" spans="1:5" ht="12.3">
      <c r="A783" s="27"/>
      <c r="B783" s="27"/>
      <c r="D783" s="625"/>
      <c r="E783" s="624"/>
    </row>
    <row r="784" spans="1:5" ht="12.3">
      <c r="A784" s="27"/>
      <c r="B784" s="27"/>
      <c r="D784" s="625"/>
      <c r="E784" s="624"/>
    </row>
    <row r="785" spans="1:5" ht="12.3">
      <c r="A785" s="27"/>
      <c r="B785" s="27"/>
      <c r="D785" s="625"/>
      <c r="E785" s="624"/>
    </row>
    <row r="786" spans="1:5" ht="12.3">
      <c r="A786" s="27"/>
      <c r="B786" s="27"/>
      <c r="D786" s="625"/>
      <c r="E786" s="624"/>
    </row>
    <row r="787" spans="1:5" ht="12.3">
      <c r="A787" s="27"/>
      <c r="B787" s="27"/>
      <c r="D787" s="625"/>
      <c r="E787" s="624"/>
    </row>
    <row r="788" spans="1:5" ht="12.3">
      <c r="A788" s="27"/>
      <c r="B788" s="27"/>
      <c r="D788" s="625"/>
      <c r="E788" s="624"/>
    </row>
    <row r="789" spans="1:5" ht="12.3">
      <c r="A789" s="27"/>
      <c r="B789" s="27"/>
      <c r="D789" s="625"/>
      <c r="E789" s="624"/>
    </row>
    <row r="790" spans="1:5" ht="12.3">
      <c r="A790" s="27"/>
      <c r="B790" s="27"/>
      <c r="D790" s="625"/>
      <c r="E790" s="624"/>
    </row>
    <row r="791" spans="1:5" ht="12.3">
      <c r="A791" s="27"/>
      <c r="B791" s="27"/>
      <c r="D791" s="625"/>
      <c r="E791" s="624"/>
    </row>
    <row r="792" spans="1:5" ht="12.3">
      <c r="A792" s="27"/>
      <c r="B792" s="27"/>
      <c r="D792" s="625"/>
      <c r="E792" s="624"/>
    </row>
    <row r="793" spans="1:5" ht="12.3">
      <c r="A793" s="27"/>
      <c r="B793" s="27"/>
      <c r="D793" s="625"/>
      <c r="E793" s="624"/>
    </row>
    <row r="794" spans="1:5" ht="12.3">
      <c r="A794" s="27"/>
      <c r="B794" s="27"/>
      <c r="D794" s="625"/>
      <c r="E794" s="624"/>
    </row>
    <row r="795" spans="1:5" ht="12.3">
      <c r="A795" s="27"/>
      <c r="B795" s="27"/>
      <c r="D795" s="625"/>
      <c r="E795" s="624"/>
    </row>
    <row r="796" spans="1:5" ht="12.3">
      <c r="A796" s="27"/>
      <c r="B796" s="27"/>
      <c r="D796" s="625"/>
      <c r="E796" s="624"/>
    </row>
    <row r="797" spans="1:5" ht="12.3">
      <c r="A797" s="27"/>
      <c r="B797" s="27"/>
      <c r="D797" s="625"/>
      <c r="E797" s="624"/>
    </row>
    <row r="798" spans="1:5" ht="12.3">
      <c r="A798" s="27"/>
      <c r="B798" s="27"/>
      <c r="D798" s="625"/>
      <c r="E798" s="624"/>
    </row>
    <row r="799" spans="1:5" ht="12.3">
      <c r="A799" s="27"/>
      <c r="B799" s="27"/>
      <c r="D799" s="625"/>
      <c r="E799" s="624"/>
    </row>
    <row r="800" spans="1:5" ht="12.3">
      <c r="A800" s="27"/>
      <c r="B800" s="27"/>
      <c r="D800" s="625"/>
      <c r="E800" s="624"/>
    </row>
    <row r="801" spans="1:5" ht="12.3">
      <c r="A801" s="27"/>
      <c r="B801" s="27"/>
      <c r="D801" s="625"/>
      <c r="E801" s="624"/>
    </row>
    <row r="802" spans="1:5" ht="12.3">
      <c r="A802" s="27"/>
      <c r="B802" s="27"/>
      <c r="D802" s="625"/>
      <c r="E802" s="624"/>
    </row>
    <row r="803" spans="1:5" ht="12.3">
      <c r="A803" s="27"/>
      <c r="B803" s="27"/>
      <c r="D803" s="625"/>
      <c r="E803" s="624"/>
    </row>
    <row r="804" spans="1:5" ht="12.3">
      <c r="A804" s="27"/>
      <c r="B804" s="27"/>
      <c r="D804" s="625"/>
      <c r="E804" s="624"/>
    </row>
    <row r="805" spans="1:5" ht="12.3">
      <c r="A805" s="27"/>
      <c r="B805" s="27"/>
      <c r="D805" s="625"/>
      <c r="E805" s="624"/>
    </row>
    <row r="806" spans="1:5" ht="12.3">
      <c r="A806" s="27"/>
      <c r="B806" s="27"/>
      <c r="D806" s="625"/>
      <c r="E806" s="624"/>
    </row>
    <row r="807" spans="1:5" ht="12.3">
      <c r="A807" s="27"/>
      <c r="B807" s="27"/>
      <c r="D807" s="625"/>
      <c r="E807" s="624"/>
    </row>
    <row r="808" spans="1:5" ht="12.3">
      <c r="A808" s="27"/>
      <c r="B808" s="27"/>
      <c r="D808" s="625"/>
      <c r="E808" s="624"/>
    </row>
    <row r="809" spans="1:5" ht="12.3">
      <c r="A809" s="27"/>
      <c r="B809" s="27"/>
      <c r="D809" s="625"/>
      <c r="E809" s="624"/>
    </row>
    <row r="810" spans="1:5" ht="12.3">
      <c r="A810" s="27"/>
      <c r="B810" s="27"/>
      <c r="D810" s="625"/>
      <c r="E810" s="624"/>
    </row>
    <row r="811" spans="1:5" ht="12.3">
      <c r="A811" s="27"/>
      <c r="B811" s="27"/>
      <c r="D811" s="625"/>
      <c r="E811" s="624"/>
    </row>
    <row r="812" spans="1:5" ht="12.3">
      <c r="A812" s="27"/>
      <c r="B812" s="27"/>
      <c r="D812" s="625"/>
      <c r="E812" s="624"/>
    </row>
    <row r="813" spans="1:5" ht="12.3">
      <c r="A813" s="27"/>
      <c r="B813" s="27"/>
      <c r="D813" s="625"/>
      <c r="E813" s="624"/>
    </row>
    <row r="814" spans="1:5" ht="12.3">
      <c r="A814" s="27"/>
      <c r="B814" s="27"/>
      <c r="D814" s="625"/>
      <c r="E814" s="624"/>
    </row>
    <row r="815" spans="1:5" ht="12.3">
      <c r="A815" s="27"/>
      <c r="B815" s="27"/>
      <c r="D815" s="625"/>
      <c r="E815" s="624"/>
    </row>
    <row r="816" spans="1:5" ht="12.3">
      <c r="A816" s="27"/>
      <c r="B816" s="27"/>
      <c r="D816" s="625"/>
      <c r="E816" s="624"/>
    </row>
    <row r="817" spans="1:5" ht="12.3">
      <c r="A817" s="27"/>
      <c r="B817" s="27"/>
      <c r="D817" s="625"/>
      <c r="E817" s="624"/>
    </row>
    <row r="818" spans="1:5" ht="12.3">
      <c r="A818" s="27"/>
      <c r="B818" s="27"/>
      <c r="D818" s="625"/>
      <c r="E818" s="624"/>
    </row>
    <row r="819" spans="1:5" ht="12.3">
      <c r="A819" s="27"/>
      <c r="B819" s="27"/>
      <c r="D819" s="625"/>
      <c r="E819" s="624"/>
    </row>
    <row r="820" spans="1:5" ht="12.3">
      <c r="A820" s="27"/>
      <c r="B820" s="27"/>
      <c r="D820" s="625"/>
      <c r="E820" s="624"/>
    </row>
    <row r="821" spans="1:5" ht="12.3">
      <c r="A821" s="27"/>
      <c r="B821" s="27"/>
      <c r="D821" s="625"/>
      <c r="E821" s="624"/>
    </row>
    <row r="822" spans="1:5" ht="12.3">
      <c r="A822" s="27"/>
      <c r="B822" s="27"/>
      <c r="D822" s="625"/>
      <c r="E822" s="624"/>
    </row>
    <row r="823" spans="1:5" ht="12.3">
      <c r="A823" s="27"/>
      <c r="B823" s="27"/>
      <c r="D823" s="625"/>
      <c r="E823" s="624"/>
    </row>
    <row r="824" spans="1:5" ht="12.3">
      <c r="A824" s="27"/>
      <c r="B824" s="27"/>
      <c r="D824" s="625"/>
      <c r="E824" s="624"/>
    </row>
    <row r="825" spans="1:5" ht="12.3">
      <c r="A825" s="27"/>
      <c r="B825" s="27"/>
      <c r="D825" s="625"/>
      <c r="E825" s="624"/>
    </row>
    <row r="826" spans="1:5" ht="12.3">
      <c r="A826" s="27"/>
      <c r="B826" s="27"/>
      <c r="D826" s="625"/>
      <c r="E826" s="624"/>
    </row>
    <row r="827" spans="1:5" ht="12.3">
      <c r="A827" s="27"/>
      <c r="B827" s="27"/>
      <c r="D827" s="625"/>
      <c r="E827" s="624"/>
    </row>
    <row r="828" spans="1:5" ht="12.3">
      <c r="A828" s="27"/>
      <c r="B828" s="27"/>
      <c r="D828" s="625"/>
      <c r="E828" s="624"/>
    </row>
    <row r="829" spans="1:5" ht="12.3">
      <c r="A829" s="27"/>
      <c r="B829" s="27"/>
      <c r="D829" s="625"/>
      <c r="E829" s="624"/>
    </row>
    <row r="830" spans="1:5" ht="12.3">
      <c r="A830" s="27"/>
      <c r="B830" s="27"/>
      <c r="D830" s="625"/>
      <c r="E830" s="624"/>
    </row>
    <row r="831" spans="1:5" ht="12.3">
      <c r="A831" s="27"/>
      <c r="B831" s="27"/>
      <c r="D831" s="625"/>
      <c r="E831" s="624"/>
    </row>
    <row r="832" spans="1:5" ht="12.3">
      <c r="A832" s="27"/>
      <c r="B832" s="27"/>
      <c r="D832" s="625"/>
      <c r="E832" s="624"/>
    </row>
    <row r="833" spans="1:5" ht="12.3">
      <c r="A833" s="27"/>
      <c r="B833" s="27"/>
      <c r="D833" s="625"/>
      <c r="E833" s="624"/>
    </row>
    <row r="834" spans="1:5" ht="12.3">
      <c r="A834" s="27"/>
      <c r="B834" s="27"/>
      <c r="D834" s="625"/>
      <c r="E834" s="624"/>
    </row>
    <row r="835" spans="1:5" ht="12.3">
      <c r="A835" s="27"/>
      <c r="B835" s="27"/>
      <c r="D835" s="625"/>
      <c r="E835" s="624"/>
    </row>
    <row r="836" spans="1:5" ht="12.3">
      <c r="A836" s="27"/>
      <c r="B836" s="27"/>
      <c r="D836" s="625"/>
      <c r="E836" s="624"/>
    </row>
    <row r="837" spans="1:5" ht="12.3">
      <c r="A837" s="27"/>
      <c r="B837" s="27"/>
      <c r="D837" s="625"/>
      <c r="E837" s="624"/>
    </row>
    <row r="838" spans="1:5" ht="12.3">
      <c r="A838" s="27"/>
      <c r="B838" s="27"/>
      <c r="D838" s="625"/>
      <c r="E838" s="624"/>
    </row>
    <row r="839" spans="1:5" ht="12.3">
      <c r="A839" s="27"/>
      <c r="B839" s="27"/>
      <c r="D839" s="625"/>
      <c r="E839" s="624"/>
    </row>
    <row r="840" spans="1:5" ht="12.3">
      <c r="A840" s="27"/>
      <c r="B840" s="27"/>
      <c r="D840" s="625"/>
      <c r="E840" s="624"/>
    </row>
    <row r="841" spans="1:5" ht="12.3">
      <c r="A841" s="27"/>
      <c r="B841" s="27"/>
      <c r="D841" s="625"/>
      <c r="E841" s="624"/>
    </row>
    <row r="842" spans="1:5" ht="12.3">
      <c r="A842" s="27"/>
      <c r="B842" s="27"/>
      <c r="D842" s="625"/>
      <c r="E842" s="624"/>
    </row>
    <row r="843" spans="1:5" ht="12.3">
      <c r="A843" s="27"/>
      <c r="B843" s="27"/>
      <c r="D843" s="625"/>
      <c r="E843" s="624"/>
    </row>
    <row r="844" spans="1:5" ht="12.3">
      <c r="A844" s="27"/>
      <c r="B844" s="27"/>
      <c r="D844" s="625"/>
      <c r="E844" s="624"/>
    </row>
    <row r="845" spans="1:5" ht="12.3">
      <c r="A845" s="27"/>
      <c r="B845" s="27"/>
      <c r="D845" s="625"/>
      <c r="E845" s="624"/>
    </row>
    <row r="846" spans="1:5" ht="12.3">
      <c r="A846" s="27"/>
      <c r="B846" s="27"/>
      <c r="D846" s="625"/>
      <c r="E846" s="624"/>
    </row>
    <row r="847" spans="1:5" ht="12.3">
      <c r="A847" s="27"/>
      <c r="B847" s="27"/>
      <c r="D847" s="625"/>
      <c r="E847" s="624"/>
    </row>
    <row r="848" spans="1:5" ht="12.3">
      <c r="A848" s="27"/>
      <c r="B848" s="27"/>
      <c r="D848" s="625"/>
      <c r="E848" s="624"/>
    </row>
    <row r="849" spans="1:5" ht="12.3">
      <c r="A849" s="27"/>
      <c r="B849" s="27"/>
      <c r="D849" s="625"/>
      <c r="E849" s="624"/>
    </row>
    <row r="850" spans="1:5" ht="12.3">
      <c r="A850" s="27"/>
      <c r="B850" s="27"/>
      <c r="D850" s="625"/>
      <c r="E850" s="624"/>
    </row>
    <row r="851" spans="1:5" ht="12.3">
      <c r="A851" s="27"/>
      <c r="B851" s="27"/>
      <c r="D851" s="625"/>
      <c r="E851" s="624"/>
    </row>
    <row r="852" spans="1:5" ht="12.3">
      <c r="A852" s="27"/>
      <c r="B852" s="27"/>
      <c r="D852" s="625"/>
      <c r="E852" s="624"/>
    </row>
    <row r="853" spans="1:5" ht="12.3">
      <c r="A853" s="27"/>
      <c r="B853" s="27"/>
      <c r="D853" s="625"/>
      <c r="E853" s="624"/>
    </row>
    <row r="854" spans="1:5" ht="12.3">
      <c r="A854" s="27"/>
      <c r="B854" s="27"/>
      <c r="D854" s="625"/>
      <c r="E854" s="624"/>
    </row>
    <row r="855" spans="1:5" ht="12.3">
      <c r="A855" s="27"/>
      <c r="B855" s="27"/>
      <c r="D855" s="625"/>
      <c r="E855" s="624"/>
    </row>
    <row r="856" spans="1:5" ht="12.3">
      <c r="A856" s="27"/>
      <c r="B856" s="27"/>
      <c r="D856" s="625"/>
      <c r="E856" s="624"/>
    </row>
    <row r="857" spans="1:5" ht="12.3">
      <c r="A857" s="27"/>
      <c r="B857" s="27"/>
      <c r="D857" s="625"/>
      <c r="E857" s="624"/>
    </row>
    <row r="858" spans="1:5" ht="12.3">
      <c r="A858" s="27"/>
      <c r="B858" s="27"/>
      <c r="D858" s="625"/>
      <c r="E858" s="624"/>
    </row>
    <row r="859" spans="1:5" ht="12.3">
      <c r="A859" s="27"/>
      <c r="B859" s="27"/>
      <c r="D859" s="625"/>
      <c r="E859" s="624"/>
    </row>
    <row r="860" spans="1:5" ht="12.3">
      <c r="A860" s="27"/>
      <c r="B860" s="27"/>
      <c r="D860" s="625"/>
      <c r="E860" s="624"/>
    </row>
    <row r="861" spans="1:5" ht="12.3">
      <c r="A861" s="27"/>
      <c r="B861" s="27"/>
      <c r="D861" s="625"/>
      <c r="E861" s="624"/>
    </row>
    <row r="862" spans="1:5" ht="12.3">
      <c r="A862" s="27"/>
      <c r="B862" s="27"/>
      <c r="D862" s="625"/>
      <c r="E862" s="624"/>
    </row>
    <row r="863" spans="1:5" ht="12.3">
      <c r="A863" s="27"/>
      <c r="B863" s="27"/>
      <c r="D863" s="625"/>
      <c r="E863" s="624"/>
    </row>
    <row r="864" spans="1:5" ht="12.3">
      <c r="A864" s="27"/>
      <c r="B864" s="27"/>
      <c r="D864" s="625"/>
      <c r="E864" s="624"/>
    </row>
    <row r="865" spans="1:5" ht="12.3">
      <c r="A865" s="27"/>
      <c r="B865" s="27"/>
      <c r="D865" s="625"/>
      <c r="E865" s="624"/>
    </row>
    <row r="866" spans="1:5" ht="12.3">
      <c r="A866" s="27"/>
      <c r="B866" s="27"/>
      <c r="D866" s="625"/>
      <c r="E866" s="624"/>
    </row>
    <row r="867" spans="1:5" ht="12.3">
      <c r="A867" s="27"/>
      <c r="B867" s="27"/>
      <c r="D867" s="625"/>
      <c r="E867" s="624"/>
    </row>
    <row r="868" spans="1:5" ht="12.3">
      <c r="A868" s="27"/>
      <c r="B868" s="27"/>
      <c r="D868" s="625"/>
      <c r="E868" s="624"/>
    </row>
    <row r="869" spans="1:5" ht="12.3">
      <c r="A869" s="27"/>
      <c r="B869" s="27"/>
      <c r="D869" s="625"/>
      <c r="E869" s="624"/>
    </row>
    <row r="870" spans="1:5" ht="12.3">
      <c r="A870" s="27"/>
      <c r="B870" s="27"/>
      <c r="D870" s="625"/>
      <c r="E870" s="624"/>
    </row>
    <row r="871" spans="1:5" ht="12.3">
      <c r="A871" s="27"/>
      <c r="B871" s="27"/>
      <c r="D871" s="625"/>
      <c r="E871" s="624"/>
    </row>
    <row r="872" spans="1:5" ht="12.3">
      <c r="A872" s="27"/>
      <c r="B872" s="27"/>
      <c r="D872" s="625"/>
      <c r="E872" s="624"/>
    </row>
    <row r="873" spans="1:5" ht="12.3">
      <c r="A873" s="27"/>
      <c r="B873" s="27"/>
      <c r="D873" s="625"/>
      <c r="E873" s="624"/>
    </row>
    <row r="874" spans="1:5" ht="12.3">
      <c r="A874" s="27"/>
      <c r="B874" s="27"/>
      <c r="D874" s="625"/>
      <c r="E874" s="624"/>
    </row>
    <row r="875" spans="1:5" ht="12.3">
      <c r="A875" s="27"/>
      <c r="B875" s="27"/>
      <c r="D875" s="625"/>
      <c r="E875" s="624"/>
    </row>
    <row r="876" spans="1:5" ht="12.3">
      <c r="A876" s="27"/>
      <c r="B876" s="27"/>
      <c r="D876" s="625"/>
      <c r="E876" s="624"/>
    </row>
    <row r="877" spans="1:5" ht="12.3">
      <c r="A877" s="27"/>
      <c r="B877" s="27"/>
      <c r="D877" s="625"/>
      <c r="E877" s="624"/>
    </row>
    <row r="878" spans="1:5" ht="12.3">
      <c r="A878" s="27"/>
      <c r="B878" s="27"/>
      <c r="D878" s="625"/>
      <c r="E878" s="624"/>
    </row>
    <row r="879" spans="1:5" ht="12.3">
      <c r="A879" s="27"/>
      <c r="B879" s="27"/>
      <c r="D879" s="625"/>
      <c r="E879" s="624"/>
    </row>
    <row r="880" spans="1:5" ht="12.3">
      <c r="A880" s="27"/>
      <c r="B880" s="27"/>
      <c r="D880" s="625"/>
      <c r="E880" s="624"/>
    </row>
    <row r="881" spans="1:5" ht="12.3">
      <c r="A881" s="27"/>
      <c r="B881" s="27"/>
      <c r="D881" s="625"/>
      <c r="E881" s="624"/>
    </row>
    <row r="882" spans="1:5" ht="12.3">
      <c r="A882" s="27"/>
      <c r="B882" s="27"/>
      <c r="D882" s="625"/>
      <c r="E882" s="624"/>
    </row>
    <row r="883" spans="1:5" ht="12.3">
      <c r="A883" s="27"/>
      <c r="B883" s="27"/>
      <c r="D883" s="625"/>
      <c r="E883" s="624"/>
    </row>
    <row r="884" spans="1:5" ht="12.3">
      <c r="A884" s="27"/>
      <c r="B884" s="27"/>
      <c r="D884" s="625"/>
      <c r="E884" s="624"/>
    </row>
    <row r="885" spans="1:5" ht="12.3">
      <c r="A885" s="27"/>
      <c r="B885" s="27"/>
      <c r="D885" s="625"/>
      <c r="E885" s="624"/>
    </row>
    <row r="886" spans="1:5" ht="12.3">
      <c r="A886" s="27"/>
      <c r="B886" s="27"/>
      <c r="D886" s="625"/>
      <c r="E886" s="624"/>
    </row>
    <row r="887" spans="1:5" ht="12.3">
      <c r="A887" s="27"/>
      <c r="B887" s="27"/>
      <c r="D887" s="625"/>
      <c r="E887" s="624"/>
    </row>
    <row r="888" spans="1:5" ht="12.3">
      <c r="A888" s="27"/>
      <c r="B888" s="27"/>
      <c r="D888" s="625"/>
      <c r="E888" s="624"/>
    </row>
    <row r="889" spans="1:5" ht="12.3">
      <c r="A889" s="27"/>
      <c r="B889" s="27"/>
      <c r="D889" s="625"/>
      <c r="E889" s="624"/>
    </row>
    <row r="890" spans="1:5" ht="12.3">
      <c r="A890" s="27"/>
      <c r="B890" s="27"/>
      <c r="D890" s="625"/>
      <c r="E890" s="624"/>
    </row>
    <row r="891" spans="1:5" ht="12.3">
      <c r="A891" s="27"/>
      <c r="B891" s="27"/>
      <c r="D891" s="625"/>
      <c r="E891" s="624"/>
    </row>
    <row r="892" spans="1:5" ht="12.3">
      <c r="A892" s="27"/>
      <c r="B892" s="27"/>
      <c r="D892" s="625"/>
      <c r="E892" s="624"/>
    </row>
    <row r="893" spans="1:5" ht="12.3">
      <c r="A893" s="27"/>
      <c r="B893" s="27"/>
      <c r="D893" s="625"/>
      <c r="E893" s="624"/>
    </row>
    <row r="894" spans="1:5" ht="12.3">
      <c r="A894" s="27"/>
      <c r="B894" s="27"/>
      <c r="D894" s="625"/>
      <c r="E894" s="624"/>
    </row>
    <row r="895" spans="1:5" ht="12.3">
      <c r="A895" s="27"/>
      <c r="B895" s="27"/>
      <c r="D895" s="625"/>
      <c r="E895" s="624"/>
    </row>
    <row r="896" spans="1:5" ht="12.3">
      <c r="A896" s="27"/>
      <c r="B896" s="27"/>
      <c r="D896" s="625"/>
      <c r="E896" s="624"/>
    </row>
    <row r="897" spans="1:5" ht="12.3">
      <c r="A897" s="27"/>
      <c r="B897" s="27"/>
      <c r="D897" s="625"/>
      <c r="E897" s="624"/>
    </row>
    <row r="898" spans="1:5" ht="12.3">
      <c r="A898" s="27"/>
      <c r="B898" s="27"/>
      <c r="D898" s="625"/>
      <c r="E898" s="624"/>
    </row>
    <row r="899" spans="1:5" ht="12.3">
      <c r="A899" s="27"/>
      <c r="B899" s="27"/>
      <c r="D899" s="625"/>
      <c r="E899" s="624"/>
    </row>
    <row r="900" spans="1:5" ht="12.3">
      <c r="A900" s="27"/>
      <c r="B900" s="27"/>
      <c r="D900" s="625"/>
      <c r="E900" s="624"/>
    </row>
    <row r="901" spans="1:5" ht="12.3">
      <c r="A901" s="27"/>
      <c r="B901" s="27"/>
      <c r="D901" s="625"/>
      <c r="E901" s="624"/>
    </row>
    <row r="902" spans="1:5" ht="12.3">
      <c r="A902" s="27"/>
      <c r="B902" s="27"/>
      <c r="D902" s="625"/>
      <c r="E902" s="624"/>
    </row>
    <row r="903" spans="1:5" ht="12.3">
      <c r="A903" s="27"/>
      <c r="B903" s="27"/>
      <c r="D903" s="625"/>
      <c r="E903" s="624"/>
    </row>
    <row r="904" spans="1:5" ht="12.3">
      <c r="A904" s="27"/>
      <c r="B904" s="27"/>
      <c r="D904" s="625"/>
      <c r="E904" s="624"/>
    </row>
    <row r="905" spans="1:5" ht="12.3">
      <c r="A905" s="27"/>
      <c r="B905" s="27"/>
      <c r="D905" s="625"/>
      <c r="E905" s="624"/>
    </row>
    <row r="906" spans="1:5" ht="12.3">
      <c r="A906" s="27"/>
      <c r="B906" s="27"/>
      <c r="D906" s="625"/>
      <c r="E906" s="624"/>
    </row>
    <row r="907" spans="1:5" ht="12.3">
      <c r="A907" s="27"/>
      <c r="B907" s="27"/>
      <c r="D907" s="625"/>
      <c r="E907" s="624"/>
    </row>
    <row r="908" spans="1:5" ht="12.3">
      <c r="A908" s="27"/>
      <c r="B908" s="27"/>
      <c r="D908" s="625"/>
      <c r="E908" s="624"/>
    </row>
    <row r="909" spans="1:5" ht="12.3">
      <c r="A909" s="27"/>
      <c r="B909" s="27"/>
      <c r="D909" s="625"/>
      <c r="E909" s="624"/>
    </row>
    <row r="910" spans="1:5" ht="12.3">
      <c r="A910" s="27"/>
      <c r="B910" s="27"/>
      <c r="D910" s="625"/>
      <c r="E910" s="624"/>
    </row>
    <row r="911" spans="1:5" ht="12.3">
      <c r="A911" s="27"/>
      <c r="B911" s="27"/>
      <c r="D911" s="625"/>
      <c r="E911" s="624"/>
    </row>
    <row r="912" spans="1:5" ht="12.3">
      <c r="A912" s="27"/>
      <c r="B912" s="27"/>
      <c r="D912" s="625"/>
      <c r="E912" s="624"/>
    </row>
    <row r="913" spans="1:5" ht="12.3">
      <c r="A913" s="27"/>
      <c r="B913" s="27"/>
      <c r="D913" s="625"/>
      <c r="E913" s="624"/>
    </row>
    <row r="914" spans="1:5" ht="12.3">
      <c r="A914" s="27"/>
      <c r="B914" s="27"/>
      <c r="D914" s="625"/>
      <c r="E914" s="624"/>
    </row>
    <row r="915" spans="1:5" ht="12.3">
      <c r="A915" s="27"/>
      <c r="B915" s="27"/>
      <c r="D915" s="625"/>
      <c r="E915" s="624"/>
    </row>
    <row r="916" spans="1:5" ht="12.3">
      <c r="A916" s="27"/>
      <c r="B916" s="27"/>
      <c r="D916" s="625"/>
      <c r="E916" s="624"/>
    </row>
    <row r="917" spans="1:5" ht="12.3">
      <c r="A917" s="27"/>
      <c r="B917" s="27"/>
      <c r="D917" s="625"/>
      <c r="E917" s="624"/>
    </row>
    <row r="918" spans="1:5" ht="12.3">
      <c r="A918" s="27"/>
      <c r="B918" s="27"/>
      <c r="D918" s="625"/>
      <c r="E918" s="624"/>
    </row>
    <row r="919" spans="1:5" ht="12.3">
      <c r="A919" s="27"/>
      <c r="B919" s="27"/>
      <c r="D919" s="625"/>
      <c r="E919" s="624"/>
    </row>
    <row r="920" spans="1:5" ht="12.3">
      <c r="A920" s="27"/>
      <c r="B920" s="27"/>
      <c r="D920" s="625"/>
      <c r="E920" s="624"/>
    </row>
    <row r="921" spans="1:5" ht="12.3">
      <c r="A921" s="27"/>
      <c r="B921" s="27"/>
      <c r="D921" s="625"/>
      <c r="E921" s="624"/>
    </row>
    <row r="922" spans="1:5" ht="12.3">
      <c r="A922" s="27"/>
      <c r="B922" s="27"/>
      <c r="D922" s="625"/>
      <c r="E922" s="624"/>
    </row>
    <row r="923" spans="1:5" ht="12.3">
      <c r="A923" s="27"/>
      <c r="B923" s="27"/>
      <c r="D923" s="625"/>
      <c r="E923" s="624"/>
    </row>
    <row r="924" spans="1:5" ht="12.3">
      <c r="A924" s="27"/>
      <c r="B924" s="27"/>
      <c r="D924" s="625"/>
      <c r="E924" s="624"/>
    </row>
    <row r="925" spans="1:5" ht="12.3">
      <c r="A925" s="27"/>
      <c r="B925" s="27"/>
      <c r="D925" s="625"/>
      <c r="E925" s="624"/>
    </row>
    <row r="926" spans="1:5" ht="12.3">
      <c r="A926" s="27"/>
      <c r="B926" s="27"/>
      <c r="D926" s="625"/>
      <c r="E926" s="624"/>
    </row>
    <row r="927" spans="1:5" ht="12.3">
      <c r="A927" s="27"/>
      <c r="B927" s="27"/>
      <c r="D927" s="625"/>
      <c r="E927" s="624"/>
    </row>
    <row r="928" spans="1:5" ht="12.3">
      <c r="A928" s="27"/>
      <c r="B928" s="27"/>
      <c r="D928" s="625"/>
      <c r="E928" s="624"/>
    </row>
    <row r="929" spans="1:5" ht="12.3">
      <c r="A929" s="27"/>
      <c r="B929" s="27"/>
      <c r="D929" s="625"/>
      <c r="E929" s="624"/>
    </row>
    <row r="930" spans="1:5" ht="12.3">
      <c r="A930" s="27"/>
      <c r="B930" s="27"/>
      <c r="D930" s="625"/>
      <c r="E930" s="624"/>
    </row>
    <row r="931" spans="1:5" ht="12.3">
      <c r="A931" s="27"/>
      <c r="B931" s="27"/>
      <c r="D931" s="625"/>
      <c r="E931" s="624"/>
    </row>
    <row r="932" spans="1:5" ht="12.3">
      <c r="A932" s="27"/>
      <c r="B932" s="27"/>
      <c r="D932" s="625"/>
      <c r="E932" s="624"/>
    </row>
    <row r="933" spans="1:5" ht="12.3">
      <c r="A933" s="27"/>
      <c r="B933" s="27"/>
      <c r="D933" s="625"/>
      <c r="E933" s="624"/>
    </row>
    <row r="934" spans="1:5" ht="12.3">
      <c r="A934" s="27"/>
      <c r="B934" s="27"/>
      <c r="D934" s="625"/>
      <c r="E934" s="624"/>
    </row>
    <row r="935" spans="1:5" ht="12.3">
      <c r="A935" s="27"/>
      <c r="B935" s="27"/>
      <c r="D935" s="625"/>
      <c r="E935" s="624"/>
    </row>
    <row r="936" spans="1:5" ht="12.3">
      <c r="A936" s="27"/>
      <c r="B936" s="27"/>
      <c r="D936" s="625"/>
      <c r="E936" s="624"/>
    </row>
    <row r="937" spans="1:5" ht="12.3">
      <c r="A937" s="27"/>
      <c r="B937" s="27"/>
      <c r="D937" s="625"/>
      <c r="E937" s="624"/>
    </row>
    <row r="938" spans="1:5" ht="12.3">
      <c r="A938" s="27"/>
      <c r="B938" s="27"/>
      <c r="D938" s="625"/>
      <c r="E938" s="624"/>
    </row>
    <row r="939" spans="1:5" ht="12.3">
      <c r="A939" s="27"/>
      <c r="B939" s="27"/>
      <c r="D939" s="625"/>
      <c r="E939" s="624"/>
    </row>
    <row r="940" spans="1:5" ht="12.3">
      <c r="A940" s="27"/>
      <c r="B940" s="27"/>
      <c r="D940" s="625"/>
      <c r="E940" s="624"/>
    </row>
    <row r="941" spans="1:5" ht="12.3">
      <c r="A941" s="27"/>
      <c r="B941" s="27"/>
      <c r="D941" s="625"/>
      <c r="E941" s="624"/>
    </row>
    <row r="942" spans="1:5" ht="12.3">
      <c r="A942" s="27"/>
      <c r="B942" s="27"/>
      <c r="D942" s="625"/>
      <c r="E942" s="624"/>
    </row>
    <row r="943" spans="1:5" ht="12.3">
      <c r="A943" s="27"/>
      <c r="B943" s="27"/>
      <c r="D943" s="625"/>
      <c r="E943" s="624"/>
    </row>
    <row r="944" spans="1:5" ht="12.3">
      <c r="A944" s="27"/>
      <c r="B944" s="27"/>
      <c r="D944" s="625"/>
      <c r="E944" s="624"/>
    </row>
    <row r="945" spans="1:5" ht="12.3">
      <c r="A945" s="27"/>
      <c r="B945" s="27"/>
      <c r="D945" s="625"/>
      <c r="E945" s="624"/>
    </row>
    <row r="946" spans="1:5" ht="12.3">
      <c r="A946" s="27"/>
      <c r="B946" s="27"/>
      <c r="D946" s="625"/>
      <c r="E946" s="624"/>
    </row>
    <row r="947" spans="1:5" ht="12.3">
      <c r="A947" s="27"/>
      <c r="B947" s="27"/>
      <c r="D947" s="625"/>
      <c r="E947" s="624"/>
    </row>
    <row r="948" spans="1:5" ht="12.3">
      <c r="A948" s="27"/>
      <c r="B948" s="27"/>
      <c r="D948" s="625"/>
      <c r="E948" s="624"/>
    </row>
    <row r="949" spans="1:5" ht="12.3">
      <c r="A949" s="27"/>
      <c r="B949" s="27"/>
      <c r="D949" s="625"/>
      <c r="E949" s="624"/>
    </row>
    <row r="950" spans="1:5" ht="12.3">
      <c r="A950" s="27"/>
      <c r="B950" s="27"/>
      <c r="D950" s="625"/>
      <c r="E950" s="624"/>
    </row>
    <row r="951" spans="1:5" ht="12.3">
      <c r="A951" s="27"/>
      <c r="B951" s="27"/>
      <c r="D951" s="625"/>
      <c r="E951" s="624"/>
    </row>
    <row r="952" spans="1:5" ht="12.3">
      <c r="A952" s="27"/>
      <c r="B952" s="27"/>
      <c r="D952" s="625"/>
      <c r="E952" s="624"/>
    </row>
    <row r="953" spans="1:5" ht="12.3">
      <c r="A953" s="27"/>
      <c r="B953" s="27"/>
      <c r="D953" s="625"/>
      <c r="E953" s="624"/>
    </row>
    <row r="954" spans="1:5" ht="12.3">
      <c r="A954" s="27"/>
      <c r="B954" s="27"/>
      <c r="D954" s="625"/>
      <c r="E954" s="624"/>
    </row>
    <row r="955" spans="1:5" ht="12.3">
      <c r="A955" s="27"/>
      <c r="B955" s="27"/>
      <c r="D955" s="625"/>
      <c r="E955" s="624"/>
    </row>
    <row r="956" spans="1:5" ht="12.3">
      <c r="A956" s="27"/>
      <c r="B956" s="27"/>
      <c r="D956" s="625"/>
      <c r="E956" s="624"/>
    </row>
    <row r="957" spans="1:5" ht="12.3">
      <c r="A957" s="27"/>
      <c r="B957" s="27"/>
      <c r="D957" s="625"/>
      <c r="E957" s="624"/>
    </row>
    <row r="958" spans="1:5" ht="12.3">
      <c r="A958" s="27"/>
      <c r="B958" s="27"/>
      <c r="D958" s="625"/>
      <c r="E958" s="624"/>
    </row>
    <row r="959" spans="1:5" ht="12.3">
      <c r="A959" s="27"/>
      <c r="B959" s="27"/>
      <c r="D959" s="625"/>
      <c r="E959" s="624"/>
    </row>
    <row r="960" spans="1:5" ht="12.3">
      <c r="A960" s="27"/>
      <c r="B960" s="27"/>
      <c r="D960" s="625"/>
      <c r="E960" s="624"/>
    </row>
    <row r="961" spans="1:5" ht="12.3">
      <c r="A961" s="27"/>
      <c r="B961" s="27"/>
      <c r="D961" s="625"/>
      <c r="E961" s="624"/>
    </row>
    <row r="962" spans="1:5" ht="12.3">
      <c r="A962" s="27"/>
      <c r="B962" s="27"/>
      <c r="D962" s="625"/>
      <c r="E962" s="624"/>
    </row>
    <row r="963" spans="1:5" ht="12.3">
      <c r="A963" s="27"/>
      <c r="B963" s="27"/>
      <c r="D963" s="625"/>
      <c r="E963" s="624"/>
    </row>
    <row r="964" spans="1:5" ht="12.3">
      <c r="A964" s="27"/>
      <c r="B964" s="27"/>
      <c r="D964" s="625"/>
      <c r="E964" s="624"/>
    </row>
    <row r="965" spans="1:5" ht="12.3">
      <c r="A965" s="27"/>
      <c r="B965" s="27"/>
      <c r="D965" s="625"/>
      <c r="E965" s="624"/>
    </row>
    <row r="966" spans="1:5" ht="12.3">
      <c r="A966" s="27"/>
      <c r="B966" s="27"/>
      <c r="D966" s="625"/>
      <c r="E966" s="624"/>
    </row>
    <row r="967" spans="1:5" ht="12.3">
      <c r="A967" s="27"/>
      <c r="B967" s="27"/>
      <c r="D967" s="625"/>
      <c r="E967" s="624"/>
    </row>
    <row r="968" spans="1:5" ht="12.3">
      <c r="A968" s="27"/>
      <c r="B968" s="27"/>
      <c r="D968" s="625"/>
      <c r="E968" s="624"/>
    </row>
    <row r="969" spans="1:5" ht="12.3">
      <c r="A969" s="27"/>
      <c r="B969" s="27"/>
      <c r="D969" s="625"/>
      <c r="E969" s="624"/>
    </row>
    <row r="970" spans="1:5" ht="12.3">
      <c r="A970" s="27"/>
      <c r="B970" s="27"/>
      <c r="D970" s="625"/>
      <c r="E970" s="624"/>
    </row>
    <row r="971" spans="1:5" ht="12.3">
      <c r="A971" s="27"/>
      <c r="B971" s="27"/>
      <c r="D971" s="625"/>
      <c r="E971" s="624"/>
    </row>
    <row r="972" spans="1:5" ht="12.3">
      <c r="A972" s="27"/>
      <c r="B972" s="27"/>
      <c r="D972" s="625"/>
      <c r="E972" s="624"/>
    </row>
    <row r="973" spans="1:5" ht="12.3">
      <c r="A973" s="27"/>
      <c r="B973" s="27"/>
      <c r="D973" s="625"/>
      <c r="E973" s="624"/>
    </row>
    <row r="974" spans="1:5" ht="12.3">
      <c r="A974" s="27"/>
      <c r="B974" s="27"/>
      <c r="D974" s="625"/>
      <c r="E974" s="624"/>
    </row>
    <row r="975" spans="1:5" ht="12.3">
      <c r="A975" s="27"/>
      <c r="B975" s="27"/>
      <c r="D975" s="625"/>
      <c r="E975" s="624"/>
    </row>
    <row r="976" spans="1:5" ht="12.3">
      <c r="A976" s="27"/>
      <c r="B976" s="27"/>
      <c r="D976" s="625"/>
      <c r="E976" s="624"/>
    </row>
    <row r="977" spans="1:5" ht="12.3">
      <c r="A977" s="27"/>
      <c r="B977" s="27"/>
      <c r="D977" s="625"/>
      <c r="E977" s="624"/>
    </row>
    <row r="978" spans="1:5" ht="12.3">
      <c r="A978" s="27"/>
      <c r="B978" s="27"/>
      <c r="D978" s="625"/>
      <c r="E978" s="624"/>
    </row>
    <row r="979" spans="1:5" ht="12.3">
      <c r="A979" s="27"/>
      <c r="B979" s="27"/>
      <c r="D979" s="625"/>
      <c r="E979" s="624"/>
    </row>
    <row r="980" spans="1:5" ht="12.3">
      <c r="A980" s="27"/>
      <c r="B980" s="27"/>
      <c r="D980" s="625"/>
      <c r="E980" s="624"/>
    </row>
    <row r="981" spans="1:5" ht="12.3">
      <c r="A981" s="27"/>
      <c r="B981" s="27"/>
      <c r="D981" s="625"/>
      <c r="E981" s="624"/>
    </row>
    <row r="982" spans="1:5" ht="12.3">
      <c r="A982" s="27"/>
      <c r="B982" s="27"/>
      <c r="D982" s="625"/>
      <c r="E982" s="624"/>
    </row>
    <row r="983" spans="1:5" ht="12.3">
      <c r="A983" s="27"/>
      <c r="B983" s="27"/>
      <c r="D983" s="625"/>
      <c r="E983" s="624"/>
    </row>
    <row r="984" spans="1:5" ht="12.3">
      <c r="A984" s="27"/>
      <c r="B984" s="27"/>
      <c r="D984" s="625"/>
      <c r="E984" s="624"/>
    </row>
    <row r="985" spans="1:5" ht="12.3">
      <c r="A985" s="27"/>
      <c r="B985" s="27"/>
      <c r="D985" s="625"/>
      <c r="E985" s="624"/>
    </row>
    <row r="986" spans="1:5" ht="12.3">
      <c r="A986" s="27"/>
      <c r="B986" s="27"/>
      <c r="D986" s="625"/>
      <c r="E986" s="624"/>
    </row>
    <row r="987" spans="1:5" ht="12.3">
      <c r="A987" s="27"/>
      <c r="B987" s="27"/>
      <c r="D987" s="625"/>
      <c r="E987" s="624"/>
    </row>
    <row r="988" spans="1:5" ht="12.3">
      <c r="A988" s="27"/>
      <c r="B988" s="27"/>
      <c r="D988" s="625"/>
      <c r="E988" s="624"/>
    </row>
    <row r="989" spans="1:5" ht="12.3">
      <c r="A989" s="27"/>
      <c r="B989" s="27"/>
      <c r="D989" s="625"/>
      <c r="E989" s="624"/>
    </row>
    <row r="990" spans="1:5" ht="12.3">
      <c r="A990" s="27"/>
      <c r="B990" s="27"/>
      <c r="D990" s="625"/>
      <c r="E990" s="624"/>
    </row>
    <row r="991" spans="1:5" ht="12.3">
      <c r="A991" s="27"/>
      <c r="B991" s="27"/>
      <c r="D991" s="625"/>
      <c r="E991" s="624"/>
    </row>
    <row r="992" spans="1:5" ht="12.3">
      <c r="A992" s="27"/>
      <c r="B992" s="27"/>
      <c r="D992" s="625"/>
      <c r="E992" s="624"/>
    </row>
    <row r="993" spans="1:5" ht="12.3">
      <c r="A993" s="27"/>
      <c r="B993" s="27"/>
      <c r="D993" s="625"/>
      <c r="E993" s="624"/>
    </row>
    <row r="994" spans="1:5" ht="12.3">
      <c r="A994" s="27"/>
      <c r="B994" s="27"/>
      <c r="D994" s="625"/>
      <c r="E994" s="624"/>
    </row>
    <row r="995" spans="1:5" ht="12.3">
      <c r="A995" s="27"/>
      <c r="B995" s="27"/>
      <c r="D995" s="625"/>
      <c r="E995" s="624"/>
    </row>
    <row r="996" spans="1:5" ht="12.3">
      <c r="A996" s="27"/>
      <c r="B996" s="27"/>
      <c r="D996" s="625"/>
      <c r="E996" s="624"/>
    </row>
    <row r="997" spans="1:5" ht="12.3">
      <c r="A997" s="27"/>
      <c r="B997" s="27"/>
      <c r="D997" s="625"/>
      <c r="E997" s="624"/>
    </row>
    <row r="998" spans="1:5" ht="12.3">
      <c r="A998" s="27"/>
      <c r="B998" s="27"/>
      <c r="D998" s="625"/>
      <c r="E998" s="624"/>
    </row>
    <row r="999" spans="1:5" ht="12.3">
      <c r="A999" s="27"/>
      <c r="B999" s="27"/>
      <c r="D999" s="625"/>
      <c r="E999" s="624"/>
    </row>
    <row r="1000" spans="1:5" ht="12.3">
      <c r="A1000" s="27"/>
      <c r="B1000" s="27"/>
      <c r="D1000" s="625"/>
      <c r="E1000" s="624"/>
    </row>
    <row r="1001" spans="1:5" ht="12.3">
      <c r="A1001" s="27"/>
      <c r="B1001" s="27"/>
      <c r="D1001" s="625"/>
      <c r="E1001" s="624"/>
    </row>
    <row r="1002" spans="1:5" ht="12.3">
      <c r="A1002" s="27"/>
      <c r="B1002" s="27"/>
      <c r="D1002" s="625"/>
      <c r="E1002" s="624"/>
    </row>
    <row r="1003" spans="1:5" ht="12.3">
      <c r="A1003" s="27"/>
      <c r="B1003" s="27"/>
      <c r="D1003" s="625"/>
      <c r="E1003" s="624"/>
    </row>
    <row r="1004" spans="1:5" ht="12.3">
      <c r="A1004" s="27"/>
      <c r="B1004" s="27"/>
      <c r="D1004" s="625"/>
      <c r="E1004" s="624"/>
    </row>
    <row r="1005" spans="1:5" ht="12.3">
      <c r="A1005" s="27"/>
      <c r="B1005" s="27"/>
      <c r="D1005" s="625"/>
      <c r="E1005" s="624"/>
    </row>
    <row r="1006" spans="1:5" ht="12.3">
      <c r="A1006" s="27"/>
      <c r="B1006" s="27"/>
      <c r="D1006" s="625"/>
      <c r="E1006" s="624"/>
    </row>
    <row r="1007" spans="1:5" ht="12.3">
      <c r="A1007" s="27"/>
      <c r="B1007" s="27"/>
      <c r="D1007" s="625"/>
      <c r="E1007" s="624"/>
    </row>
    <row r="1008" spans="1:5" ht="12.3">
      <c r="A1008" s="27"/>
      <c r="B1008" s="27"/>
      <c r="D1008" s="625"/>
      <c r="E1008" s="624"/>
    </row>
    <row r="1009" spans="1:5" ht="12.3">
      <c r="A1009" s="27"/>
      <c r="B1009" s="27"/>
      <c r="D1009" s="625"/>
      <c r="E1009" s="624"/>
    </row>
    <row r="1010" spans="1:5" ht="12.3">
      <c r="A1010" s="27"/>
      <c r="B1010" s="27"/>
      <c r="D1010" s="625"/>
      <c r="E1010" s="624"/>
    </row>
    <row r="1011" spans="1:5" ht="12.3">
      <c r="A1011" s="27"/>
      <c r="B1011" s="27"/>
      <c r="D1011" s="625"/>
      <c r="E1011" s="624"/>
    </row>
    <row r="1012" spans="1:5" ht="12.3">
      <c r="A1012" s="27"/>
      <c r="B1012" s="27"/>
      <c r="D1012" s="625"/>
      <c r="E1012" s="624"/>
    </row>
    <row r="1013" spans="1:5" ht="12.3">
      <c r="A1013" s="27"/>
      <c r="B1013" s="27"/>
      <c r="D1013" s="625"/>
      <c r="E1013" s="624"/>
    </row>
    <row r="1014" spans="1:5" ht="12.3">
      <c r="A1014" s="27"/>
      <c r="B1014" s="27"/>
      <c r="D1014" s="625"/>
      <c r="E1014" s="624"/>
    </row>
    <row r="1015" spans="1:5" ht="12.3">
      <c r="A1015" s="27"/>
      <c r="B1015" s="27"/>
      <c r="D1015" s="625"/>
      <c r="E1015" s="624"/>
    </row>
    <row r="1016" spans="1:5" ht="12.3">
      <c r="A1016" s="27"/>
      <c r="B1016" s="27"/>
      <c r="D1016" s="625"/>
      <c r="E1016" s="624"/>
    </row>
    <row r="1017" spans="1:5" ht="12.3">
      <c r="A1017" s="27"/>
      <c r="B1017" s="27"/>
      <c r="D1017" s="625"/>
      <c r="E1017" s="624"/>
    </row>
    <row r="1018" spans="1:5" ht="12.3">
      <c r="A1018" s="27"/>
      <c r="B1018" s="27"/>
      <c r="D1018" s="625"/>
      <c r="E1018" s="624"/>
    </row>
    <row r="1019" spans="1:5" ht="12.3">
      <c r="A1019" s="27"/>
      <c r="B1019" s="27"/>
      <c r="D1019" s="625"/>
      <c r="E1019" s="624"/>
    </row>
    <row r="1020" spans="1:5" ht="12.3">
      <c r="A1020" s="27"/>
      <c r="B1020" s="27"/>
      <c r="D1020" s="625"/>
      <c r="E1020" s="624"/>
    </row>
    <row r="1021" spans="1:5" ht="12.3">
      <c r="A1021" s="27"/>
      <c r="B1021" s="27"/>
      <c r="D1021" s="625"/>
      <c r="E1021" s="624"/>
    </row>
    <row r="1022" spans="1:5" ht="12.3">
      <c r="A1022" s="27"/>
      <c r="B1022" s="27"/>
      <c r="D1022" s="625"/>
      <c r="E1022" s="624"/>
    </row>
    <row r="1023" spans="1:5" ht="12.3">
      <c r="A1023" s="27"/>
      <c r="B1023" s="27"/>
      <c r="D1023" s="625"/>
      <c r="E1023" s="624"/>
    </row>
    <row r="1024" spans="1:5" ht="12.3">
      <c r="A1024" s="27"/>
      <c r="B1024" s="27"/>
      <c r="D1024" s="625"/>
      <c r="E1024" s="624"/>
    </row>
    <row r="1025" spans="1:5" ht="12.3">
      <c r="A1025" s="27"/>
      <c r="B1025" s="27"/>
      <c r="D1025" s="625"/>
      <c r="E1025" s="624"/>
    </row>
    <row r="1026" spans="1:5" ht="12.3">
      <c r="A1026" s="27"/>
      <c r="B1026" s="27"/>
      <c r="D1026" s="625"/>
      <c r="E1026" s="624"/>
    </row>
    <row r="1027" spans="1:5" ht="12.3">
      <c r="A1027" s="27"/>
      <c r="B1027" s="27"/>
      <c r="D1027" s="625"/>
      <c r="E1027" s="624"/>
    </row>
    <row r="1028" spans="1:5" ht="12.3">
      <c r="A1028" s="27"/>
      <c r="B1028" s="27"/>
      <c r="D1028" s="625"/>
      <c r="E1028" s="624"/>
    </row>
    <row r="1029" spans="1:5" ht="12.3">
      <c r="A1029" s="27"/>
      <c r="B1029" s="27"/>
      <c r="D1029" s="625"/>
      <c r="E1029" s="624"/>
    </row>
    <row r="1030" spans="1:5" ht="12.3">
      <c r="A1030" s="27"/>
      <c r="B1030" s="27"/>
      <c r="D1030" s="625"/>
      <c r="E1030" s="624"/>
    </row>
    <row r="1031" spans="1:5" ht="12.3">
      <c r="A1031" s="27"/>
      <c r="B1031" s="27"/>
      <c r="D1031" s="625"/>
      <c r="E1031" s="624"/>
    </row>
    <row r="1032" spans="1:5" ht="12.3">
      <c r="A1032" s="27"/>
      <c r="B1032" s="27"/>
      <c r="D1032" s="625"/>
      <c r="E1032" s="624"/>
    </row>
    <row r="1033" spans="1:5" ht="12.3">
      <c r="A1033" s="27"/>
      <c r="B1033" s="27"/>
      <c r="D1033" s="625"/>
      <c r="E1033" s="624"/>
    </row>
    <row r="1034" spans="1:5" ht="12.3">
      <c r="A1034" s="27"/>
      <c r="B1034" s="27"/>
      <c r="D1034" s="625"/>
      <c r="E1034" s="624"/>
    </row>
    <row r="1035" spans="1:5" ht="12.3">
      <c r="A1035" s="27"/>
      <c r="B1035" s="27"/>
      <c r="D1035" s="625"/>
      <c r="E1035" s="624"/>
    </row>
    <row r="1036" spans="1:5" ht="12.3">
      <c r="A1036" s="27"/>
      <c r="B1036" s="27"/>
      <c r="D1036" s="625"/>
      <c r="E1036" s="624"/>
    </row>
    <row r="1037" spans="1:5" ht="12.3">
      <c r="A1037" s="27"/>
      <c r="B1037" s="27"/>
      <c r="D1037" s="625"/>
      <c r="E1037" s="624"/>
    </row>
    <row r="1038" spans="1:5" ht="12.3">
      <c r="A1038" s="27"/>
      <c r="B1038" s="27"/>
      <c r="D1038" s="625"/>
      <c r="E1038" s="624"/>
    </row>
    <row r="1039" spans="1:5" ht="12.3">
      <c r="A1039" s="27"/>
      <c r="B1039" s="27"/>
      <c r="D1039" s="625"/>
      <c r="E1039" s="624"/>
    </row>
    <row r="1040" spans="1:5" ht="12.3">
      <c r="A1040" s="27"/>
      <c r="B1040" s="27"/>
      <c r="D1040" s="625"/>
      <c r="E1040" s="624"/>
    </row>
    <row r="1041" spans="1:5" ht="12.3">
      <c r="A1041" s="27"/>
      <c r="B1041" s="27"/>
      <c r="D1041" s="625"/>
      <c r="E1041" s="624"/>
    </row>
    <row r="1042" spans="1:5" ht="12.3">
      <c r="A1042" s="27"/>
      <c r="B1042" s="27"/>
      <c r="D1042" s="625"/>
      <c r="E1042" s="624"/>
    </row>
    <row r="1043" spans="1:5" ht="12.3">
      <c r="A1043" s="27"/>
      <c r="B1043" s="27"/>
      <c r="D1043" s="625"/>
      <c r="E1043" s="624"/>
    </row>
    <row r="1044" spans="1:5" ht="12.3">
      <c r="A1044" s="27"/>
      <c r="B1044" s="27"/>
      <c r="D1044" s="625"/>
      <c r="E1044" s="624"/>
    </row>
    <row r="1045" spans="1:5" ht="12.3">
      <c r="A1045" s="27"/>
      <c r="B1045" s="27"/>
      <c r="D1045" s="625"/>
      <c r="E1045" s="624"/>
    </row>
    <row r="1046" spans="1:5" ht="12.3">
      <c r="A1046" s="27"/>
      <c r="B1046" s="27"/>
      <c r="D1046" s="625"/>
      <c r="E1046" s="624"/>
    </row>
    <row r="1047" spans="1:5" ht="12.3">
      <c r="A1047" s="27"/>
      <c r="B1047" s="27"/>
      <c r="D1047" s="625"/>
      <c r="E1047" s="624"/>
    </row>
    <row r="1048" spans="1:5" ht="12.3">
      <c r="A1048" s="27"/>
      <c r="B1048" s="27"/>
      <c r="D1048" s="625"/>
      <c r="E1048" s="624"/>
    </row>
    <row r="1049" spans="1:5" ht="12.3">
      <c r="A1049" s="27"/>
      <c r="B1049" s="27"/>
      <c r="D1049" s="625"/>
      <c r="E1049" s="624"/>
    </row>
    <row r="1050" spans="1:5" ht="12.3">
      <c r="A1050" s="27"/>
      <c r="B1050" s="27"/>
      <c r="D1050" s="625"/>
      <c r="E1050" s="624"/>
    </row>
    <row r="1051" spans="1:5" ht="12.3">
      <c r="A1051" s="27"/>
      <c r="B1051" s="27"/>
      <c r="D1051" s="625"/>
      <c r="E1051" s="624"/>
    </row>
    <row r="1052" spans="1:5" ht="12.3">
      <c r="A1052" s="27"/>
      <c r="B1052" s="27"/>
      <c r="D1052" s="625"/>
      <c r="E1052" s="624"/>
    </row>
    <row r="1053" spans="1:5" ht="12.3">
      <c r="A1053" s="27"/>
      <c r="B1053" s="27"/>
      <c r="D1053" s="625"/>
      <c r="E1053" s="624"/>
    </row>
    <row r="1054" spans="1:5" ht="12.3">
      <c r="A1054" s="27"/>
      <c r="B1054" s="27"/>
      <c r="D1054" s="625"/>
      <c r="E1054" s="624"/>
    </row>
    <row r="1055" spans="1:5" ht="12.3">
      <c r="A1055" s="27"/>
      <c r="B1055" s="27"/>
      <c r="D1055" s="625"/>
      <c r="E1055" s="624"/>
    </row>
    <row r="1056" spans="1:5" ht="12.3">
      <c r="A1056" s="27"/>
      <c r="B1056" s="27"/>
      <c r="D1056" s="625"/>
      <c r="E1056" s="624"/>
    </row>
    <row r="1057" spans="1:5" ht="12.3">
      <c r="A1057" s="27"/>
      <c r="B1057" s="27"/>
      <c r="D1057" s="625"/>
      <c r="E1057" s="624"/>
    </row>
    <row r="1058" spans="1:5" ht="12.3">
      <c r="A1058" s="27"/>
      <c r="B1058" s="27"/>
      <c r="D1058" s="625"/>
      <c r="E1058" s="624"/>
    </row>
    <row r="1059" spans="1:5" ht="12.3">
      <c r="A1059" s="27"/>
      <c r="B1059" s="27"/>
      <c r="D1059" s="625"/>
      <c r="E1059" s="624"/>
    </row>
    <row r="1060" spans="1:5" ht="12.3">
      <c r="A1060" s="27"/>
      <c r="B1060" s="27"/>
      <c r="D1060" s="625"/>
      <c r="E1060" s="624"/>
    </row>
    <row r="1061" spans="1:5" ht="12.3">
      <c r="A1061" s="27"/>
      <c r="B1061" s="27"/>
      <c r="D1061" s="625"/>
      <c r="E1061" s="624"/>
    </row>
    <row r="1062" spans="1:5" ht="12.3">
      <c r="A1062" s="27"/>
      <c r="B1062" s="27"/>
      <c r="D1062" s="625"/>
      <c r="E1062" s="624"/>
    </row>
    <row r="1063" spans="1:5" ht="12.3">
      <c r="A1063" s="27"/>
      <c r="B1063" s="27"/>
      <c r="D1063" s="625"/>
      <c r="E1063" s="624"/>
    </row>
    <row r="1064" spans="1:5" ht="12.3">
      <c r="A1064" s="27"/>
      <c r="B1064" s="27"/>
      <c r="D1064" s="625"/>
      <c r="E1064" s="624"/>
    </row>
    <row r="1065" spans="1:5" ht="12.3">
      <c r="A1065" s="27"/>
      <c r="B1065" s="27"/>
      <c r="D1065" s="625"/>
      <c r="E1065" s="624"/>
    </row>
    <row r="1066" spans="1:5" ht="12.3">
      <c r="A1066" s="27"/>
      <c r="B1066" s="27"/>
      <c r="D1066" s="625"/>
      <c r="E1066" s="624"/>
    </row>
    <row r="1067" spans="1:5" ht="12.3">
      <c r="A1067" s="27"/>
      <c r="B1067" s="27"/>
      <c r="D1067" s="625"/>
      <c r="E1067" s="624"/>
    </row>
    <row r="1068" spans="1:5" ht="12.3">
      <c r="A1068" s="27"/>
      <c r="B1068" s="27"/>
      <c r="D1068" s="625"/>
      <c r="E1068" s="624"/>
    </row>
    <row r="1069" spans="1:5" ht="12.3">
      <c r="A1069" s="27"/>
      <c r="B1069" s="27"/>
      <c r="D1069" s="625"/>
      <c r="E1069" s="624"/>
    </row>
    <row r="1070" spans="1:5" ht="12.3">
      <c r="A1070" s="27"/>
      <c r="B1070" s="27"/>
      <c r="D1070" s="625"/>
      <c r="E1070" s="624"/>
    </row>
    <row r="1071" spans="1:5" ht="12.3">
      <c r="A1071" s="27"/>
      <c r="B1071" s="27"/>
      <c r="D1071" s="625"/>
      <c r="E1071" s="624"/>
    </row>
    <row r="1072" spans="1:5" ht="12.3">
      <c r="A1072" s="27"/>
      <c r="B1072" s="27"/>
      <c r="D1072" s="625"/>
      <c r="E1072" s="624"/>
    </row>
    <row r="1073" spans="1:5" ht="12.3">
      <c r="A1073" s="27"/>
      <c r="B1073" s="27"/>
      <c r="D1073" s="625"/>
      <c r="E1073" s="624"/>
    </row>
    <row r="1074" spans="1:5" ht="12.3">
      <c r="A1074" s="27"/>
      <c r="B1074" s="27"/>
      <c r="D1074" s="625"/>
      <c r="E1074" s="624"/>
    </row>
    <row r="1075" spans="1:5" ht="12.3">
      <c r="A1075" s="27"/>
      <c r="B1075" s="27"/>
      <c r="D1075" s="625"/>
      <c r="E1075" s="624"/>
    </row>
    <row r="1076" spans="1:5" ht="12.3">
      <c r="A1076" s="27"/>
      <c r="B1076" s="27"/>
      <c r="D1076" s="625"/>
      <c r="E1076" s="624"/>
    </row>
    <row r="1077" spans="1:5" ht="12.3">
      <c r="A1077" s="27"/>
      <c r="B1077" s="27"/>
      <c r="D1077" s="625"/>
      <c r="E1077" s="624"/>
    </row>
    <row r="1078" spans="1:5" ht="12.3">
      <c r="A1078" s="27"/>
      <c r="B1078" s="27"/>
      <c r="D1078" s="625"/>
      <c r="E1078" s="624"/>
    </row>
    <row r="1079" spans="1:5" ht="12.3">
      <c r="A1079" s="27"/>
      <c r="B1079" s="27"/>
      <c r="D1079" s="625"/>
      <c r="E1079" s="624"/>
    </row>
    <row r="1080" spans="1:5" ht="12.3">
      <c r="A1080" s="27"/>
      <c r="B1080" s="27"/>
      <c r="D1080" s="625"/>
      <c r="E1080" s="624"/>
    </row>
    <row r="1081" spans="1:5" ht="12.3">
      <c r="A1081" s="27"/>
      <c r="B1081" s="27"/>
      <c r="D1081" s="625"/>
      <c r="E1081" s="624"/>
    </row>
    <row r="1082" spans="1:5" ht="12.3">
      <c r="A1082" s="27"/>
      <c r="B1082" s="27"/>
      <c r="D1082" s="625"/>
      <c r="E1082" s="624"/>
    </row>
    <row r="1083" spans="1:5" ht="12.3">
      <c r="A1083" s="27"/>
      <c r="B1083" s="27"/>
      <c r="D1083" s="625"/>
      <c r="E1083" s="624"/>
    </row>
    <row r="1084" spans="1:5" ht="12.3">
      <c r="A1084" s="27"/>
      <c r="B1084" s="27"/>
      <c r="D1084" s="625"/>
      <c r="E1084" s="624"/>
    </row>
    <row r="1085" spans="1:5" ht="12.3">
      <c r="A1085" s="27"/>
      <c r="B1085" s="27"/>
      <c r="D1085" s="625"/>
      <c r="E1085" s="624"/>
    </row>
    <row r="1086" spans="1:5" ht="12.3">
      <c r="A1086" s="27"/>
      <c r="B1086" s="27"/>
      <c r="D1086" s="625"/>
      <c r="E1086" s="624"/>
    </row>
    <row r="1087" spans="1:5" ht="12.3">
      <c r="A1087" s="27"/>
      <c r="B1087" s="27"/>
      <c r="D1087" s="625"/>
      <c r="E1087" s="624"/>
    </row>
    <row r="1088" spans="1:5" ht="12.3">
      <c r="A1088" s="27"/>
      <c r="B1088" s="27"/>
      <c r="D1088" s="625"/>
      <c r="E1088" s="624"/>
    </row>
    <row r="1089" spans="1:5" ht="12.3">
      <c r="A1089" s="27"/>
      <c r="B1089" s="27"/>
      <c r="D1089" s="625"/>
      <c r="E1089" s="624"/>
    </row>
    <row r="1090" spans="1:5" ht="12.3">
      <c r="A1090" s="27"/>
      <c r="B1090" s="27"/>
      <c r="D1090" s="625"/>
      <c r="E1090" s="624"/>
    </row>
    <row r="1091" spans="1:5" ht="12.3">
      <c r="A1091" s="27"/>
      <c r="B1091" s="27"/>
      <c r="D1091" s="625"/>
      <c r="E1091" s="624"/>
    </row>
    <row r="1092" spans="1:5" ht="12.3">
      <c r="A1092" s="27"/>
      <c r="B1092" s="27"/>
      <c r="D1092" s="625"/>
      <c r="E1092" s="624"/>
    </row>
    <row r="1093" spans="1:5" ht="12.3">
      <c r="A1093" s="27"/>
      <c r="B1093" s="27"/>
      <c r="D1093" s="625"/>
      <c r="E1093" s="624"/>
    </row>
    <row r="1094" spans="1:5" ht="12.3">
      <c r="A1094" s="27"/>
      <c r="B1094" s="27"/>
      <c r="D1094" s="625"/>
      <c r="E1094" s="624"/>
    </row>
    <row r="1095" spans="1:5" ht="12.3">
      <c r="A1095" s="27"/>
      <c r="B1095" s="27"/>
      <c r="D1095" s="625"/>
      <c r="E1095" s="624"/>
    </row>
    <row r="1096" spans="1:5" ht="12.3">
      <c r="A1096" s="27"/>
      <c r="B1096" s="27"/>
      <c r="D1096" s="625"/>
      <c r="E1096" s="624"/>
    </row>
    <row r="1097" spans="1:5" ht="12.3">
      <c r="A1097" s="27"/>
      <c r="B1097" s="27"/>
      <c r="D1097" s="625"/>
      <c r="E1097" s="624"/>
    </row>
    <row r="1098" spans="1:5" ht="12.3">
      <c r="A1098" s="27"/>
      <c r="B1098" s="27"/>
      <c r="D1098" s="625"/>
      <c r="E1098" s="624"/>
    </row>
    <row r="1099" spans="1:5" ht="12.3">
      <c r="A1099" s="27"/>
      <c r="B1099" s="27"/>
      <c r="D1099" s="625"/>
      <c r="E1099" s="624"/>
    </row>
    <row r="1100" spans="1:5" ht="12.3">
      <c r="A1100" s="27"/>
      <c r="B1100" s="27"/>
      <c r="D1100" s="625"/>
      <c r="E1100" s="624"/>
    </row>
    <row r="1101" spans="1:5" ht="12.3">
      <c r="A1101" s="27"/>
      <c r="B1101" s="27"/>
      <c r="D1101" s="625"/>
      <c r="E1101" s="624"/>
    </row>
    <row r="1102" spans="1:5" ht="12.3">
      <c r="A1102" s="27"/>
      <c r="B1102" s="27"/>
      <c r="D1102" s="625"/>
      <c r="E1102" s="624"/>
    </row>
    <row r="1103" spans="1:5" ht="12.3">
      <c r="A1103" s="27"/>
      <c r="B1103" s="27"/>
      <c r="D1103" s="625"/>
      <c r="E1103" s="624"/>
    </row>
    <row r="1104" spans="1:5" ht="12.3">
      <c r="A1104" s="27"/>
      <c r="B1104" s="27"/>
      <c r="D1104" s="625"/>
      <c r="E1104" s="624"/>
    </row>
    <row r="1105" spans="1:5" ht="12.3">
      <c r="A1105" s="27"/>
      <c r="B1105" s="27"/>
      <c r="D1105" s="625"/>
      <c r="E1105" s="624"/>
    </row>
    <row r="1106" spans="1:5" ht="12.3">
      <c r="A1106" s="27"/>
      <c r="B1106" s="27"/>
      <c r="D1106" s="625"/>
      <c r="E1106" s="624"/>
    </row>
    <row r="1107" spans="1:5" ht="12.3">
      <c r="A1107" s="27"/>
      <c r="B1107" s="27"/>
      <c r="D1107" s="625"/>
      <c r="E1107" s="624"/>
    </row>
    <row r="1108" spans="1:5" ht="12.3">
      <c r="A1108" s="27"/>
      <c r="B1108" s="27"/>
      <c r="D1108" s="625"/>
      <c r="E1108" s="624"/>
    </row>
    <row r="1109" spans="1:5" ht="12.3">
      <c r="A1109" s="27"/>
      <c r="B1109" s="27"/>
      <c r="D1109" s="625"/>
      <c r="E1109" s="624"/>
    </row>
    <row r="1110" spans="1:5" ht="12.3">
      <c r="A1110" s="27"/>
      <c r="B1110" s="27"/>
      <c r="D1110" s="625"/>
      <c r="E1110" s="624"/>
    </row>
    <row r="1111" spans="1:5" ht="12.3">
      <c r="A1111" s="27"/>
      <c r="B1111" s="27"/>
      <c r="D1111" s="625"/>
      <c r="E1111" s="624"/>
    </row>
    <row r="1112" spans="1:5" ht="12.3">
      <c r="A1112" s="27"/>
      <c r="B1112" s="27"/>
      <c r="D1112" s="625"/>
      <c r="E1112" s="624"/>
    </row>
    <row r="1113" spans="1:5" ht="12.3">
      <c r="A1113" s="27"/>
      <c r="B1113" s="27"/>
      <c r="D1113" s="625"/>
      <c r="E1113" s="624"/>
    </row>
    <row r="1114" spans="1:5" ht="12.3">
      <c r="A1114" s="27"/>
      <c r="B1114" s="27"/>
      <c r="D1114" s="625"/>
      <c r="E1114" s="624"/>
    </row>
    <row r="1115" spans="1:5" ht="12.3">
      <c r="A1115" s="27"/>
      <c r="B1115" s="27"/>
      <c r="D1115" s="625"/>
      <c r="E1115" s="624"/>
    </row>
    <row r="1116" spans="1:5" ht="12.3">
      <c r="A1116" s="27"/>
      <c r="B1116" s="27"/>
      <c r="D1116" s="625"/>
      <c r="E1116" s="624"/>
    </row>
    <row r="1117" spans="1:5" ht="12.3">
      <c r="A1117" s="27"/>
      <c r="B1117" s="27"/>
      <c r="D1117" s="625"/>
      <c r="E1117" s="624"/>
    </row>
    <row r="1118" spans="1:5" ht="12.3">
      <c r="A1118" s="27"/>
      <c r="B1118" s="27"/>
      <c r="D1118" s="625"/>
      <c r="E1118" s="624"/>
    </row>
    <row r="1119" spans="1:5" ht="12.3">
      <c r="A1119" s="27"/>
      <c r="B1119" s="27"/>
      <c r="D1119" s="625"/>
      <c r="E1119" s="624"/>
    </row>
    <row r="1120" spans="1:5" ht="12.3">
      <c r="A1120" s="27"/>
      <c r="B1120" s="27"/>
      <c r="D1120" s="625"/>
      <c r="E1120" s="624"/>
    </row>
    <row r="1121" spans="1:5" ht="12.3">
      <c r="A1121" s="27"/>
      <c r="B1121" s="27"/>
      <c r="D1121" s="625"/>
      <c r="E1121" s="624"/>
    </row>
    <row r="1122" spans="1:5" ht="12.3">
      <c r="A1122" s="27"/>
      <c r="B1122" s="27"/>
      <c r="D1122" s="625"/>
      <c r="E1122" s="624"/>
    </row>
    <row r="1123" spans="1:5" ht="12.3">
      <c r="A1123" s="27"/>
      <c r="B1123" s="27"/>
      <c r="D1123" s="625"/>
      <c r="E1123" s="624"/>
    </row>
    <row r="1124" spans="1:5" ht="12.3">
      <c r="A1124" s="27"/>
      <c r="B1124" s="27"/>
      <c r="D1124" s="625"/>
      <c r="E1124" s="624"/>
    </row>
    <row r="1125" spans="1:5" ht="12.3">
      <c r="A1125" s="27"/>
      <c r="B1125" s="27"/>
      <c r="D1125" s="625"/>
      <c r="E1125" s="624"/>
    </row>
    <row r="1126" spans="1:5" ht="12.3">
      <c r="A1126" s="27"/>
      <c r="B1126" s="27"/>
      <c r="D1126" s="625"/>
      <c r="E1126" s="624"/>
    </row>
    <row r="1127" spans="1:5" ht="12.3">
      <c r="A1127" s="27"/>
      <c r="B1127" s="27"/>
      <c r="D1127" s="625"/>
      <c r="E1127" s="624"/>
    </row>
    <row r="1128" spans="1:5" ht="12.3">
      <c r="A1128" s="27"/>
      <c r="B1128" s="27"/>
      <c r="D1128" s="625"/>
      <c r="E1128" s="624"/>
    </row>
    <row r="1129" spans="1:5" ht="12.3">
      <c r="A1129" s="27"/>
      <c r="B1129" s="27"/>
      <c r="D1129" s="625"/>
      <c r="E1129" s="624"/>
    </row>
    <row r="1130" spans="1:5" ht="12.3">
      <c r="A1130" s="27"/>
      <c r="B1130" s="27"/>
      <c r="D1130" s="625"/>
      <c r="E1130" s="624"/>
    </row>
    <row r="1131" spans="1:5" ht="12.3">
      <c r="A1131" s="27"/>
      <c r="B1131" s="27"/>
      <c r="D1131" s="625"/>
      <c r="E1131" s="624"/>
    </row>
    <row r="1132" spans="1:5" ht="12.3">
      <c r="A1132" s="27"/>
      <c r="B1132" s="27"/>
      <c r="D1132" s="625"/>
      <c r="E1132" s="624"/>
    </row>
    <row r="1133" spans="1:5" ht="12.3">
      <c r="A1133" s="27"/>
      <c r="B1133" s="27"/>
      <c r="D1133" s="625"/>
      <c r="E1133" s="624"/>
    </row>
    <row r="1134" spans="1:5" ht="12.3">
      <c r="A1134" s="27"/>
      <c r="B1134" s="27"/>
      <c r="D1134" s="625"/>
      <c r="E1134" s="624"/>
    </row>
    <row r="1135" spans="1:5" ht="12.3">
      <c r="A1135" s="27"/>
      <c r="B1135" s="27"/>
      <c r="D1135" s="625"/>
      <c r="E1135" s="624"/>
    </row>
    <row r="1136" spans="1:5" ht="12.3">
      <c r="A1136" s="27"/>
      <c r="B1136" s="27"/>
      <c r="D1136" s="625"/>
      <c r="E1136" s="624"/>
    </row>
    <row r="1137" spans="1:5" ht="12.3">
      <c r="A1137" s="27"/>
      <c r="B1137" s="27"/>
      <c r="D1137" s="625"/>
      <c r="E1137" s="624"/>
    </row>
    <row r="1138" spans="1:5" ht="12.3">
      <c r="A1138" s="27"/>
      <c r="B1138" s="27"/>
      <c r="D1138" s="625"/>
      <c r="E1138" s="624"/>
    </row>
    <row r="1139" spans="1:5" ht="12.3">
      <c r="A1139" s="27"/>
      <c r="B1139" s="27"/>
      <c r="D1139" s="625"/>
      <c r="E1139" s="624"/>
    </row>
    <row r="1140" spans="1:5" ht="12.3">
      <c r="A1140" s="27"/>
      <c r="B1140" s="27"/>
      <c r="D1140" s="625"/>
      <c r="E1140" s="624"/>
    </row>
    <row r="1141" spans="1:5" ht="12.3">
      <c r="A1141" s="27"/>
      <c r="B1141" s="27"/>
      <c r="D1141" s="625"/>
      <c r="E1141" s="624"/>
    </row>
    <row r="1142" spans="1:5" ht="12.3">
      <c r="A1142" s="27"/>
      <c r="B1142" s="27"/>
      <c r="D1142" s="625"/>
      <c r="E1142" s="624"/>
    </row>
    <row r="1143" spans="1:5" ht="12.3">
      <c r="A1143" s="27"/>
      <c r="B1143" s="27"/>
      <c r="D1143" s="625"/>
      <c r="E1143" s="624"/>
    </row>
    <row r="1144" spans="1:5" ht="12.3">
      <c r="A1144" s="27"/>
      <c r="B1144" s="27"/>
      <c r="D1144" s="625"/>
      <c r="E1144" s="624"/>
    </row>
    <row r="1145" spans="1:5" ht="12.3">
      <c r="A1145" s="27"/>
      <c r="B1145" s="27"/>
      <c r="D1145" s="625"/>
      <c r="E1145" s="624"/>
    </row>
    <row r="1146" spans="1:5" ht="12.3">
      <c r="A1146" s="27"/>
      <c r="B1146" s="27"/>
      <c r="D1146" s="625"/>
      <c r="E1146" s="624"/>
    </row>
    <row r="1147" spans="1:5" ht="12.3">
      <c r="A1147" s="27"/>
      <c r="B1147" s="27"/>
      <c r="D1147" s="625"/>
      <c r="E1147" s="624"/>
    </row>
    <row r="1148" spans="1:5" ht="12.3">
      <c r="A1148" s="27"/>
      <c r="B1148" s="27"/>
      <c r="D1148" s="625"/>
      <c r="E1148" s="624"/>
    </row>
    <row r="1149" spans="1:5" ht="12.3">
      <c r="A1149" s="27"/>
      <c r="B1149" s="27"/>
      <c r="D1149" s="625"/>
      <c r="E1149" s="624"/>
    </row>
  </sheetData>
  <sheetProtection algorithmName="SHA-512" hashValue="NTvFZ1G/6lO7bswDLXgjvcDLeCqpnNW//mxfbi+jDUGp8J5OHRVl2rJaj3qmVl2I7/pgirB9SyiREmin7D0gog==" saltValue="WL8+RYfj9gFgPBhRds7Qew==" spinCount="100000" sheet="1" objects="1" scenarios="1"/>
  <mergeCells count="1">
    <mergeCell ref="C4:C8"/>
  </mergeCells>
  <dataValidations count="1">
    <dataValidation type="list" allowBlank="1" showInputMessage="1" showErrorMessage="1" sqref="G74:G85 G11:G24 G41:G51 G27:G38 G54:G71" xr:uid="{2AE481F0-6453-470B-BB5C-DB3D013E94C7}">
      <formula1>$I$14:$I$18</formula1>
    </dataValidation>
  </dataValidations>
  <printOptions horizontalCentered="1" gridLines="1"/>
  <pageMargins left="0.7" right="0.7" top="0.75" bottom="0.75" header="0" footer="0"/>
  <pageSetup pageOrder="overThenDown" orientation="portrait" cellComments="atEnd"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FFFF00"/>
    <outlinePr summaryBelow="0" summaryRight="0"/>
  </sheetPr>
  <dimension ref="A1:Z989"/>
  <sheetViews>
    <sheetView showGridLines="0" tabSelected="1" topLeftCell="B2" workbookViewId="0">
      <selection activeCell="N9" sqref="N9"/>
    </sheetView>
  </sheetViews>
  <sheetFormatPr defaultColWidth="17.27734375" defaultRowHeight="15" customHeight="1"/>
  <cols>
    <col min="1" max="1" width="3.609375" customWidth="1"/>
    <col min="2" max="2" width="15.83203125" style="203" customWidth="1"/>
    <col min="3" max="3" width="11.44140625" style="203" customWidth="1"/>
    <col min="4" max="4" width="17.109375" style="203" customWidth="1"/>
    <col min="5" max="5" width="13.5546875" style="203" customWidth="1"/>
    <col min="6" max="6" width="15.44140625" style="203" customWidth="1"/>
    <col min="7" max="7" width="3.27734375" style="203" customWidth="1"/>
    <col min="8" max="8" width="29.109375" style="203" customWidth="1"/>
    <col min="9" max="9" width="12.27734375" style="203" customWidth="1"/>
    <col min="10" max="10" width="11.71875" style="203" customWidth="1"/>
    <col min="11" max="11" width="19.83203125" style="203" customWidth="1"/>
    <col min="12" max="12" width="11.71875" style="203" customWidth="1"/>
    <col min="13" max="13" width="3.71875" style="203" customWidth="1"/>
    <col min="14" max="14" width="29" style="203" customWidth="1"/>
    <col min="15" max="15" width="17.27734375" style="203"/>
    <col min="16" max="16" width="67.83203125" style="203" customWidth="1"/>
    <col min="17" max="18" width="17.27734375" style="203"/>
  </cols>
  <sheetData>
    <row r="1" spans="1:26" ht="15" customHeight="1">
      <c r="B1" s="207"/>
      <c r="C1" s="208"/>
      <c r="D1" s="205"/>
      <c r="E1" s="204"/>
    </row>
    <row r="2" spans="1:26" ht="20.399999999999999" customHeight="1">
      <c r="B2" s="202" t="s">
        <v>0</v>
      </c>
      <c r="C2" s="208"/>
      <c r="D2" s="205"/>
      <c r="E2" s="204"/>
    </row>
    <row r="3" spans="1:26" ht="15" customHeight="1">
      <c r="B3" s="205"/>
      <c r="C3" s="205"/>
      <c r="D3" s="205"/>
      <c r="E3" s="204"/>
    </row>
    <row r="4" spans="1:26" ht="15" customHeight="1">
      <c r="B4" s="209" t="s">
        <v>1</v>
      </c>
      <c r="C4" s="205"/>
      <c r="D4" s="205"/>
      <c r="E4" s="204"/>
    </row>
    <row r="5" spans="1:26" ht="24.6">
      <c r="B5" s="210" t="s">
        <v>2</v>
      </c>
      <c r="C5" s="211" t="str">
        <f>'REV &amp; COGS'!K16</f>
        <v>Product Sold by</v>
      </c>
      <c r="D5" s="211" t="str">
        <f>'REV &amp; COGS'!O16</f>
        <v>Units Sold</v>
      </c>
      <c r="E5" s="211" t="str">
        <f>'REV &amp; COGS'!Q16</f>
        <v>Sale $ per unit</v>
      </c>
      <c r="F5" s="211" t="str">
        <f>'REV &amp; COGS'!R16</f>
        <v>Apr - Sep Rev</v>
      </c>
      <c r="H5" s="212" t="s">
        <v>3</v>
      </c>
      <c r="I5" s="213" t="s">
        <v>4</v>
      </c>
      <c r="J5" s="213" t="s">
        <v>5</v>
      </c>
      <c r="K5" s="213" t="s">
        <v>6</v>
      </c>
      <c r="L5" s="213" t="s">
        <v>7</v>
      </c>
      <c r="N5" s="1531" t="s">
        <v>8</v>
      </c>
      <c r="O5" s="1528"/>
      <c r="P5" s="1528"/>
      <c r="Q5" s="1528"/>
      <c r="R5" s="1529"/>
    </row>
    <row r="6" spans="1:26" ht="27.3" customHeight="1">
      <c r="A6" s="3"/>
      <c r="B6" s="312" t="str">
        <f>'REV &amp; COGS'!A17</f>
        <v>Romaine</v>
      </c>
      <c r="C6" s="313" t="str">
        <f>'REV &amp; COGS'!K17</f>
        <v>24 ct case</v>
      </c>
      <c r="D6" s="314">
        <f>'REV &amp; COGS'!O17</f>
        <v>288.16666666666669</v>
      </c>
      <c r="E6" s="315">
        <f>'REV &amp; COGS'!Q17</f>
        <v>54</v>
      </c>
      <c r="F6" s="316">
        <f>'REV &amp; COGS'!R17</f>
        <v>15561.000000000002</v>
      </c>
      <c r="G6" s="279"/>
      <c r="H6" s="317" t="s">
        <v>9</v>
      </c>
      <c r="I6" s="318">
        <f>'Plant &amp; Fish Production'!O22+'Plant &amp; Fish Production'!O42</f>
        <v>19825.866666666665</v>
      </c>
      <c r="J6" s="318">
        <f>I6/12</f>
        <v>1652.1555555555553</v>
      </c>
      <c r="K6" s="318">
        <f>I6/52</f>
        <v>381.26666666666665</v>
      </c>
      <c r="L6" s="318">
        <f>'REV &amp; COGS'!J31+'REV &amp; COGS'!J49</f>
        <v>2593.5</v>
      </c>
      <c r="M6" s="294"/>
      <c r="N6" s="319" t="str">
        <f>IF('Please Read First'!C11="metric", "Daily Feed Input in kg", "Daily Feed Input in lbs")</f>
        <v>Daily Feed Input in lbs</v>
      </c>
      <c r="O6" s="215">
        <f>'Plant &amp; Fish Production'!C69</f>
        <v>0</v>
      </c>
      <c r="P6" s="1530" t="s">
        <v>10</v>
      </c>
      <c r="Q6" s="1528"/>
      <c r="R6" s="1529"/>
      <c r="S6" s="3"/>
      <c r="T6" s="3"/>
      <c r="U6" s="3"/>
      <c r="V6" s="3"/>
      <c r="W6" s="3"/>
      <c r="X6" s="3"/>
      <c r="Y6" s="3"/>
      <c r="Z6" s="3"/>
    </row>
    <row r="7" spans="1:26" ht="15" customHeight="1">
      <c r="A7" s="3"/>
      <c r="B7" s="312" t="str">
        <f>'REV &amp; COGS'!A18</f>
        <v>Bibb Lettuce</v>
      </c>
      <c r="C7" s="313">
        <f>'REV &amp; COGS'!K18</f>
        <v>0</v>
      </c>
      <c r="D7" s="314" t="str">
        <f>'REV &amp; COGS'!O18</f>
        <v/>
      </c>
      <c r="E7" s="315">
        <f>'REV &amp; COGS'!Q18</f>
        <v>0</v>
      </c>
      <c r="F7" s="316" t="str">
        <f>'REV &amp; COGS'!R18</f>
        <v/>
      </c>
      <c r="G7" s="279"/>
      <c r="H7" s="317" t="str">
        <f>IF('Please Read First'!$C$11="metric", "Media Beds (kg of product)", "Media Beds (lbs of product)")</f>
        <v>Media Beds (lbs of product)</v>
      </c>
      <c r="I7" s="318">
        <f>'Plant &amp; Fish Production'!N61+'Plant &amp; Fish Production'!N79</f>
        <v>0</v>
      </c>
      <c r="J7" s="318">
        <f>I7/12</f>
        <v>0</v>
      </c>
      <c r="K7" s="318">
        <f>I7/52</f>
        <v>0</v>
      </c>
      <c r="L7" s="318">
        <f>'Plant &amp; Fish Production'!N79+'Plant &amp; Fish Production'!N61</f>
        <v>0</v>
      </c>
      <c r="M7" s="294"/>
      <c r="N7" s="320" t="str">
        <f>IF('Please Read First'!C11="metric", "Target harvest weight in kg", "Target Harvest Weight in lbs")</f>
        <v>Target Harvest Weight in lbs</v>
      </c>
      <c r="O7" s="1432">
        <f>'Plant &amp; Fish Production'!C56</f>
        <v>1.5</v>
      </c>
      <c r="P7" s="1532" t="s">
        <v>12</v>
      </c>
      <c r="Q7" s="1528"/>
      <c r="R7" s="1529"/>
      <c r="S7" s="3"/>
      <c r="T7" s="3"/>
      <c r="U7" s="3"/>
      <c r="V7" s="3"/>
      <c r="W7" s="3"/>
      <c r="X7" s="3"/>
      <c r="Y7" s="3"/>
      <c r="Z7" s="3"/>
    </row>
    <row r="8" spans="1:26" ht="15" customHeight="1">
      <c r="A8" s="3"/>
      <c r="B8" s="312" t="str">
        <f>'REV &amp; COGS'!A19</f>
        <v>Green Star</v>
      </c>
      <c r="C8" s="313">
        <f>'REV &amp; COGS'!K19</f>
        <v>0</v>
      </c>
      <c r="D8" s="314" t="str">
        <f>'REV &amp; COGS'!O19</f>
        <v/>
      </c>
      <c r="E8" s="315">
        <f>'REV &amp; COGS'!Q19</f>
        <v>0</v>
      </c>
      <c r="F8" s="316" t="str">
        <f>'REV &amp; COGS'!R19</f>
        <v/>
      </c>
      <c r="G8" s="279"/>
      <c r="H8" s="317" t="s">
        <v>13</v>
      </c>
      <c r="I8" s="318">
        <f>'REV &amp; COGS'!I107</f>
        <v>156</v>
      </c>
      <c r="J8" s="318">
        <f>I8/12</f>
        <v>13</v>
      </c>
      <c r="K8" s="318">
        <f>I8/52</f>
        <v>3</v>
      </c>
      <c r="L8" s="318">
        <f>'REV &amp; COGS'!P107</f>
        <v>0</v>
      </c>
      <c r="M8" s="294"/>
      <c r="N8" s="320" t="str">
        <f>IF('Please Read First'!C11="metric", "Target Stocking density in kg/L", "Target Stocking Density in lbs/gal")</f>
        <v>Target Stocking Density in lbs/gal</v>
      </c>
      <c r="O8" s="1432">
        <f>'Plant &amp; Fish Production'!C65</f>
        <v>0</v>
      </c>
      <c r="P8" s="1527" t="s">
        <v>957</v>
      </c>
      <c r="Q8" s="1528"/>
      <c r="R8" s="1529"/>
      <c r="S8" s="3"/>
      <c r="T8" s="3"/>
      <c r="U8" s="3"/>
      <c r="V8" s="3"/>
      <c r="W8" s="3"/>
      <c r="X8" s="3"/>
      <c r="Y8" s="3"/>
      <c r="Z8" s="3"/>
    </row>
    <row r="9" spans="1:26" ht="23.4" customHeight="1">
      <c r="A9" s="3"/>
      <c r="B9" s="312" t="str">
        <f>'REV &amp; COGS'!A20</f>
        <v>Mustard Greens</v>
      </c>
      <c r="C9" s="313">
        <f>'REV &amp; COGS'!K20</f>
        <v>0</v>
      </c>
      <c r="D9" s="314" t="str">
        <f>'REV &amp; COGS'!O20</f>
        <v/>
      </c>
      <c r="E9" s="315">
        <f>'REV &amp; COGS'!Q20</f>
        <v>0</v>
      </c>
      <c r="F9" s="316" t="str">
        <f>'REV &amp; COGS'!R20</f>
        <v/>
      </c>
      <c r="G9" s="279"/>
      <c r="H9" s="317" t="str">
        <f>IF('Please Read First'!$C$11="metric", "Fish live weight (kg)", "Fish live weight (lbs)")</f>
        <v>Fish live weight (lbs)</v>
      </c>
      <c r="I9" s="318" t="str">
        <f>'Plant &amp; Fish Production'!C73</f>
        <v/>
      </c>
      <c r="J9" s="318">
        <f>IFERROR(I9/12, 0)</f>
        <v>0</v>
      </c>
      <c r="K9" s="318">
        <f>IFERROR(I9/52, 0)</f>
        <v>0</v>
      </c>
      <c r="L9" s="318" t="str">
        <f>I9</f>
        <v/>
      </c>
      <c r="M9" s="294"/>
      <c r="N9" s="312" t="s">
        <v>25</v>
      </c>
      <c r="O9" s="217" t="str">
        <f>'Plant &amp; Fish Production'!C78</f>
        <v/>
      </c>
      <c r="P9" s="1530" t="s">
        <v>26</v>
      </c>
      <c r="Q9" s="1528"/>
      <c r="R9" s="1529"/>
      <c r="S9" s="3"/>
      <c r="T9" s="3"/>
      <c r="U9" s="3"/>
      <c r="V9" s="3"/>
      <c r="W9" s="3"/>
      <c r="X9" s="3"/>
      <c r="Y9" s="3"/>
      <c r="Z9" s="3"/>
    </row>
    <row r="10" spans="1:26" ht="15" customHeight="1">
      <c r="A10" s="3"/>
      <c r="B10" s="312" t="str">
        <f>'REV &amp; COGS'!A21</f>
        <v>Basil</v>
      </c>
      <c r="C10" s="313">
        <f>'REV &amp; COGS'!K21</f>
        <v>0</v>
      </c>
      <c r="D10" s="314" t="str">
        <f>'REV &amp; COGS'!O21</f>
        <v/>
      </c>
      <c r="E10" s="315">
        <f>'REV &amp; COGS'!Q21</f>
        <v>0</v>
      </c>
      <c r="F10" s="316" t="str">
        <f>'REV &amp; COGS'!R21</f>
        <v/>
      </c>
      <c r="G10" s="279"/>
      <c r="H10" s="279"/>
      <c r="I10" s="279"/>
      <c r="J10" s="279"/>
      <c r="K10" s="279"/>
      <c r="L10" s="279"/>
      <c r="M10" s="294"/>
      <c r="N10" s="312" t="str">
        <f>'Plant &amp; Fish Production'!B59</f>
        <v>Growout period (months)</v>
      </c>
      <c r="O10" s="217">
        <f>'Plant &amp; Fish Production'!C59</f>
        <v>11</v>
      </c>
      <c r="P10" s="1530" t="s">
        <v>27</v>
      </c>
      <c r="Q10" s="1528"/>
      <c r="R10" s="1529"/>
      <c r="S10" s="3"/>
      <c r="T10" s="3"/>
      <c r="U10" s="3"/>
      <c r="V10" s="3"/>
      <c r="W10" s="3"/>
      <c r="X10" s="3"/>
      <c r="Y10" s="3"/>
      <c r="Z10" s="3"/>
    </row>
    <row r="11" spans="1:26" ht="27.3" customHeight="1">
      <c r="A11" s="3"/>
      <c r="B11" s="312" t="str">
        <f>'REV &amp; COGS'!A22</f>
        <v/>
      </c>
      <c r="C11" s="313">
        <f>'REV &amp; COGS'!K22</f>
        <v>0</v>
      </c>
      <c r="D11" s="314" t="str">
        <f>'REV &amp; COGS'!O22</f>
        <v/>
      </c>
      <c r="E11" s="315">
        <f>'REV &amp; COGS'!Q22</f>
        <v>0</v>
      </c>
      <c r="F11" s="316" t="str">
        <f>'REV &amp; COGS'!R22</f>
        <v/>
      </c>
      <c r="G11" s="279"/>
      <c r="H11" s="321" t="str">
        <f>'Produce &amp; Fish Sales'!B3</f>
        <v>Growing System</v>
      </c>
      <c r="I11" s="322" t="str">
        <f>'Produce &amp; Fish Sales'!D3</f>
        <v>Year 1</v>
      </c>
      <c r="J11" s="322" t="str">
        <f>'Produce &amp; Fish Sales'!E3</f>
        <v>Year 2</v>
      </c>
      <c r="K11" s="322" t="str">
        <f>'Produce &amp; Fish Sales'!F3</f>
        <v>Year 3</v>
      </c>
      <c r="L11" s="322" t="str">
        <f>'Produce &amp; Fish Sales'!G3</f>
        <v>Year 4</v>
      </c>
      <c r="M11" s="279"/>
      <c r="N11" s="312" t="str">
        <f>'Plant &amp; Fish Production'!B60</f>
        <v>Number of tanks (or age cohorts of fish)</v>
      </c>
      <c r="O11" s="217">
        <f>'Plant &amp; Fish Production'!C60</f>
        <v>4</v>
      </c>
      <c r="P11" s="1530" t="s">
        <v>29</v>
      </c>
      <c r="Q11" s="1528"/>
      <c r="R11" s="1529"/>
      <c r="S11" s="3"/>
      <c r="T11" s="3"/>
      <c r="U11" s="3"/>
      <c r="V11" s="3"/>
      <c r="W11" s="3"/>
      <c r="X11" s="3"/>
      <c r="Y11" s="3"/>
      <c r="Z11" s="3"/>
    </row>
    <row r="12" spans="1:26" ht="27.3" customHeight="1">
      <c r="B12" s="312" t="str">
        <f>'REV &amp; COGS'!A23</f>
        <v/>
      </c>
      <c r="C12" s="313">
        <f>'REV &amp; COGS'!K23</f>
        <v>0</v>
      </c>
      <c r="D12" s="314" t="str">
        <f>'REV &amp; COGS'!O23</f>
        <v/>
      </c>
      <c r="E12" s="315">
        <f>'REV &amp; COGS'!Q23</f>
        <v>0</v>
      </c>
      <c r="F12" s="316" t="str">
        <f>'REV &amp; COGS'!R23</f>
        <v/>
      </c>
      <c r="G12" s="279"/>
      <c r="H12" s="320" t="str">
        <f>'Produce &amp; Fish Sales'!B4</f>
        <v>DWC</v>
      </c>
      <c r="I12" s="323">
        <f>'Produce &amp; Fish Sales'!D4</f>
        <v>5187.0000000000018</v>
      </c>
      <c r="J12" s="323">
        <f>'Produce &amp; Fish Sales'!E4</f>
        <v>15561.000000000002</v>
      </c>
      <c r="K12" s="323">
        <f>'Produce &amp; Fish Sales'!F4</f>
        <v>15561.000000000002</v>
      </c>
      <c r="L12" s="323">
        <f>'Produce &amp; Fish Sales'!G4</f>
        <v>15561.000000000002</v>
      </c>
      <c r="M12" s="279"/>
      <c r="N12" s="312" t="str">
        <f>'REV &amp; COGS'!F9</f>
        <v>Restock every (months)</v>
      </c>
      <c r="O12" s="206">
        <f>'REV &amp; COGS'!F10</f>
        <v>2.75</v>
      </c>
      <c r="P12" s="1530" t="s">
        <v>30</v>
      </c>
      <c r="Q12" s="1528"/>
      <c r="R12" s="1529"/>
    </row>
    <row r="13" spans="1:26" ht="12.3">
      <c r="B13" s="312" t="str">
        <f>'REV &amp; COGS'!A24</f>
        <v/>
      </c>
      <c r="C13" s="313">
        <f>'REV &amp; COGS'!K24</f>
        <v>0</v>
      </c>
      <c r="D13" s="314" t="str">
        <f>'REV &amp; COGS'!O24</f>
        <v/>
      </c>
      <c r="E13" s="315">
        <f>'REV &amp; COGS'!Q24</f>
        <v>0</v>
      </c>
      <c r="F13" s="316" t="str">
        <f>'REV &amp; COGS'!R24</f>
        <v/>
      </c>
      <c r="G13" s="279"/>
      <c r="H13" s="320" t="str">
        <f>'Produce &amp; Fish Sales'!B5</f>
        <v>Media Beds</v>
      </c>
      <c r="I13" s="323">
        <f>'Produce &amp; Fish Sales'!D5</f>
        <v>0</v>
      </c>
      <c r="J13" s="323">
        <f>'Produce &amp; Fish Sales'!E5</f>
        <v>0</v>
      </c>
      <c r="K13" s="323">
        <f>'Produce &amp; Fish Sales'!F5</f>
        <v>0</v>
      </c>
      <c r="L13" s="323">
        <f>'Produce &amp; Fish Sales'!G5</f>
        <v>0</v>
      </c>
      <c r="M13" s="279"/>
      <c r="N13" s="320" t="str">
        <f>IF('Please Read First'!C11="metric", "Weight per Harvest in kg", "Weight per Harvest in lbs")</f>
        <v>Weight per Harvest in lbs</v>
      </c>
      <c r="O13" s="1433" t="str">
        <f>'Plant &amp; Fish Production'!C74</f>
        <v/>
      </c>
      <c r="P13" s="1530" t="s">
        <v>34</v>
      </c>
      <c r="Q13" s="1528"/>
      <c r="R13" s="1529"/>
    </row>
    <row r="14" spans="1:26" ht="15" customHeight="1">
      <c r="B14" s="312" t="str">
        <f>'REV &amp; COGS'!A25</f>
        <v/>
      </c>
      <c r="C14" s="313">
        <f>'REV &amp; COGS'!K25</f>
        <v>0</v>
      </c>
      <c r="D14" s="314" t="str">
        <f>'REV &amp; COGS'!O25</f>
        <v/>
      </c>
      <c r="E14" s="315">
        <f>'REV &amp; COGS'!Q25</f>
        <v>0</v>
      </c>
      <c r="F14" s="316" t="str">
        <f>'REV &amp; COGS'!R25</f>
        <v/>
      </c>
      <c r="G14" s="279"/>
      <c r="H14" s="320" t="str">
        <f>'Produce &amp; Fish Sales'!B6</f>
        <v>Microgreens</v>
      </c>
      <c r="I14" s="323">
        <f>'Produce &amp; Fish Sales'!D6</f>
        <v>0</v>
      </c>
      <c r="J14" s="323">
        <f>'Produce &amp; Fish Sales'!E6</f>
        <v>0</v>
      </c>
      <c r="K14" s="323">
        <f>'Produce &amp; Fish Sales'!F6</f>
        <v>0</v>
      </c>
      <c r="L14" s="323">
        <f>'Produce &amp; Fish Sales'!G6</f>
        <v>0</v>
      </c>
      <c r="M14" s="279"/>
      <c r="N14" s="320" t="str">
        <f>IF('Please Read First'!C11="metric", "Water volume per tank in Liters", "Water Volume per tank in gallons")</f>
        <v>Water Volume per tank in gallons</v>
      </c>
      <c r="O14" s="218" t="str">
        <f>'Plant &amp; Fish Production'!C75</f>
        <v/>
      </c>
      <c r="P14" s="1532" t="s">
        <v>35</v>
      </c>
      <c r="Q14" s="1528"/>
      <c r="R14" s="1529"/>
    </row>
    <row r="15" spans="1:26" ht="15" customHeight="1">
      <c r="B15" s="312" t="str">
        <f>'REV &amp; COGS'!A26</f>
        <v/>
      </c>
      <c r="C15" s="313">
        <f>'REV &amp; COGS'!K26</f>
        <v>0</v>
      </c>
      <c r="D15" s="314" t="str">
        <f>'REV &amp; COGS'!O26</f>
        <v/>
      </c>
      <c r="E15" s="315">
        <f>'REV &amp; COGS'!Q26</f>
        <v>0</v>
      </c>
      <c r="F15" s="316" t="str">
        <f>'REV &amp; COGS'!R26</f>
        <v/>
      </c>
      <c r="G15" s="279"/>
      <c r="H15" s="320" t="str">
        <f>'Produce &amp; Fish Sales'!B7</f>
        <v>Fish</v>
      </c>
      <c r="I15" s="323">
        <f>'Produce &amp; Fish Sales'!D7</f>
        <v>0</v>
      </c>
      <c r="J15" s="323">
        <f>'Produce &amp; Fish Sales'!E7</f>
        <v>0</v>
      </c>
      <c r="K15" s="323">
        <f>'Produce &amp; Fish Sales'!F7</f>
        <v>0</v>
      </c>
      <c r="L15" s="323">
        <f>'Produce &amp; Fish Sales'!G7</f>
        <v>0</v>
      </c>
      <c r="M15" s="279"/>
      <c r="N15" s="320" t="str">
        <f>IF('Please Read First'!C11="metric", "Annual Weight in kg", "Annual Weight in lbs")</f>
        <v>Annual Weight in lbs</v>
      </c>
      <c r="O15" s="216" t="str">
        <f>'Plant &amp; Fish Production'!C73</f>
        <v/>
      </c>
      <c r="P15" s="1532" t="s">
        <v>37</v>
      </c>
      <c r="Q15" s="1528"/>
      <c r="R15" s="1529"/>
    </row>
    <row r="16" spans="1:26" ht="15" customHeight="1">
      <c r="B16" s="312" t="str">
        <f>'REV &amp; COGS'!A27</f>
        <v/>
      </c>
      <c r="C16" s="313">
        <f>'REV &amp; COGS'!K27</f>
        <v>0</v>
      </c>
      <c r="D16" s="314" t="str">
        <f>'REV &amp; COGS'!O27</f>
        <v/>
      </c>
      <c r="E16" s="315">
        <f>'REV &amp; COGS'!Q27</f>
        <v>0</v>
      </c>
      <c r="F16" s="316" t="str">
        <f>'REV &amp; COGS'!R27</f>
        <v/>
      </c>
      <c r="G16" s="279"/>
      <c r="H16" s="324" t="str">
        <f>'Produce &amp; Fish Sales'!B8</f>
        <v>Totals</v>
      </c>
      <c r="I16" s="325">
        <f>'Produce &amp; Fish Sales'!D8</f>
        <v>5187.0000000000018</v>
      </c>
      <c r="J16" s="325">
        <f>'Produce &amp; Fish Sales'!E8</f>
        <v>15561.000000000002</v>
      </c>
      <c r="K16" s="325">
        <f>'Produce &amp; Fish Sales'!F8</f>
        <v>15561.000000000002</v>
      </c>
      <c r="L16" s="325">
        <f>'Produce &amp; Fish Sales'!G8</f>
        <v>15561.000000000002</v>
      </c>
      <c r="M16" s="279"/>
      <c r="N16" s="279"/>
    </row>
    <row r="17" spans="2:21" ht="15" customHeight="1">
      <c r="B17" s="312" t="str">
        <f>'REV &amp; COGS'!A28</f>
        <v/>
      </c>
      <c r="C17" s="313">
        <f>'REV &amp; COGS'!K28</f>
        <v>0</v>
      </c>
      <c r="D17" s="314" t="str">
        <f>'REV &amp; COGS'!O28</f>
        <v/>
      </c>
      <c r="E17" s="315">
        <f>'REV &amp; COGS'!Q28</f>
        <v>0</v>
      </c>
      <c r="F17" s="316" t="str">
        <f>'REV &amp; COGS'!R28</f>
        <v/>
      </c>
      <c r="G17" s="279"/>
      <c r="H17" s="326"/>
      <c r="I17" s="327"/>
      <c r="J17" s="327"/>
      <c r="K17" s="327"/>
      <c r="L17" s="327"/>
      <c r="M17" s="279"/>
      <c r="N17" s="328"/>
    </row>
    <row r="18" spans="2:21" ht="15" customHeight="1">
      <c r="B18" s="312" t="str">
        <f>'REV &amp; COGS'!A29</f>
        <v/>
      </c>
      <c r="C18" s="313">
        <f>'REV &amp; COGS'!K29</f>
        <v>0</v>
      </c>
      <c r="D18" s="314" t="str">
        <f>'REV &amp; COGS'!O29</f>
        <v/>
      </c>
      <c r="E18" s="315">
        <f>'REV &amp; COGS'!Q29</f>
        <v>0</v>
      </c>
      <c r="F18" s="316" t="str">
        <f>'REV &amp; COGS'!R29</f>
        <v/>
      </c>
      <c r="G18" s="279"/>
      <c r="H18" s="329" t="s">
        <v>40</v>
      </c>
      <c r="I18" s="330"/>
      <c r="J18" s="330"/>
      <c r="K18" s="330"/>
      <c r="L18" s="330"/>
      <c r="M18" s="279"/>
      <c r="N18" s="1117" t="s">
        <v>773</v>
      </c>
      <c r="O18" s="1118" t="str">
        <f>IFERROR(IRR('Summary Data'!B49:M49), "net income negative")</f>
        <v>net income negative</v>
      </c>
      <c r="P18" s="1534" t="s">
        <v>772</v>
      </c>
      <c r="Q18" s="1534"/>
      <c r="R18" s="1534"/>
      <c r="S18" s="1534"/>
      <c r="T18" s="1534"/>
      <c r="U18" s="1535"/>
    </row>
    <row r="19" spans="2:21" ht="15" customHeight="1">
      <c r="B19" s="312" t="str">
        <f>'REV &amp; COGS'!A30</f>
        <v/>
      </c>
      <c r="C19" s="313">
        <f>'REV &amp; COGS'!K30</f>
        <v>0</v>
      </c>
      <c r="D19" s="314" t="str">
        <f>'REV &amp; COGS'!O30</f>
        <v/>
      </c>
      <c r="E19" s="315">
        <f>'REV &amp; COGS'!Q30</f>
        <v>0</v>
      </c>
      <c r="F19" s="316" t="str">
        <f>'REV &amp; COGS'!R30</f>
        <v/>
      </c>
      <c r="G19" s="279"/>
      <c r="H19" s="331" t="s">
        <v>43</v>
      </c>
      <c r="I19" s="332" t="s">
        <v>31</v>
      </c>
      <c r="J19" s="332" t="s">
        <v>21</v>
      </c>
      <c r="K19" s="332" t="s">
        <v>32</v>
      </c>
      <c r="L19" s="332" t="s">
        <v>33</v>
      </c>
      <c r="M19" s="279"/>
      <c r="N19" s="1112"/>
      <c r="O19" s="922"/>
      <c r="P19" s="1536"/>
      <c r="Q19" s="1536"/>
      <c r="R19" s="1536"/>
      <c r="S19" s="1536"/>
      <c r="T19" s="1536"/>
      <c r="U19" s="1537"/>
    </row>
    <row r="20" spans="2:21" ht="15" customHeight="1">
      <c r="B20" s="333" t="s">
        <v>19</v>
      </c>
      <c r="C20" s="333"/>
      <c r="D20" s="334">
        <f>SUM(D6:D19)</f>
        <v>288.16666666666669</v>
      </c>
      <c r="E20" s="333"/>
      <c r="F20" s="335">
        <f>'REV &amp; COGS'!R31</f>
        <v>15561.000000000002</v>
      </c>
      <c r="G20" s="279"/>
      <c r="H20" s="336" t="s">
        <v>44</v>
      </c>
      <c r="I20" s="337">
        <f>'Pro Forma Income Statement'!E9</f>
        <v>5187.0000000000018</v>
      </c>
      <c r="J20" s="337">
        <f>'Pro Forma Income Statement'!F9</f>
        <v>15561.000000000002</v>
      </c>
      <c r="K20" s="337">
        <f>'Pro Forma Income Statement'!G9</f>
        <v>15561.000000000002</v>
      </c>
      <c r="L20" s="337">
        <f>'Pro Forma Income Statement'!H9</f>
        <v>15561.000000000002</v>
      </c>
      <c r="M20" s="279"/>
      <c r="N20" s="1121"/>
      <c r="O20" s="1122"/>
      <c r="P20" s="1538"/>
      <c r="Q20" s="1538"/>
      <c r="R20" s="1538"/>
      <c r="S20" s="1538"/>
      <c r="T20" s="1538"/>
      <c r="U20" s="1539"/>
    </row>
    <row r="21" spans="2:21" ht="15" customHeight="1">
      <c r="B21" s="279"/>
      <c r="C21" s="279"/>
      <c r="D21" s="279"/>
      <c r="E21" s="279"/>
      <c r="F21" s="279"/>
      <c r="G21" s="279"/>
      <c r="H21" s="336" t="s">
        <v>36</v>
      </c>
      <c r="I21" s="337">
        <f>'Pro Forma Income Statement'!E10</f>
        <v>0</v>
      </c>
      <c r="J21" s="337">
        <f>'Pro Forma Income Statement'!F10</f>
        <v>0</v>
      </c>
      <c r="K21" s="337">
        <f>'Pro Forma Income Statement'!G10</f>
        <v>0</v>
      </c>
      <c r="L21" s="337">
        <f>'Pro Forma Income Statement'!H10</f>
        <v>0</v>
      </c>
      <c r="M21" s="279"/>
      <c r="N21" s="1112"/>
      <c r="O21" s="1001"/>
      <c r="P21" s="1001"/>
      <c r="Q21" s="1001"/>
      <c r="R21" s="1001"/>
      <c r="S21" s="1002"/>
      <c r="T21" s="1002"/>
      <c r="U21" s="1113"/>
    </row>
    <row r="22" spans="2:21" ht="15" customHeight="1">
      <c r="B22" s="338" t="s">
        <v>45</v>
      </c>
      <c r="C22" s="279"/>
      <c r="D22" s="279"/>
      <c r="E22" s="279"/>
      <c r="F22" s="279"/>
      <c r="G22" s="279"/>
      <c r="H22" s="336" t="s">
        <v>46</v>
      </c>
      <c r="I22" s="337">
        <f>'Pro Forma Income Statement'!E11</f>
        <v>275</v>
      </c>
      <c r="J22" s="337">
        <f>'Pro Forma Income Statement'!F11</f>
        <v>0</v>
      </c>
      <c r="K22" s="337">
        <f>'Pro Forma Income Statement'!G11</f>
        <v>0</v>
      </c>
      <c r="L22" s="337">
        <f>'Pro Forma Income Statement'!H11</f>
        <v>0</v>
      </c>
      <c r="M22" s="279"/>
      <c r="N22" s="1119" t="s">
        <v>79</v>
      </c>
      <c r="O22" s="1120">
        <f>NPV(O23, 'Summary Data'!C49:M49)</f>
        <v>-333549.5999999998</v>
      </c>
      <c r="P22" s="1534" t="s">
        <v>83</v>
      </c>
      <c r="Q22" s="1534"/>
      <c r="R22" s="1534"/>
      <c r="S22" s="1534"/>
      <c r="T22" s="1534"/>
      <c r="U22" s="1535"/>
    </row>
    <row r="23" spans="2:21" ht="24.6">
      <c r="B23" s="339" t="s">
        <v>2</v>
      </c>
      <c r="C23" s="339" t="str">
        <f>'REV &amp; COGS'!K34</f>
        <v>Product Sold by</v>
      </c>
      <c r="D23" s="340" t="str">
        <f>'REV &amp; COGS'!O34</f>
        <v>Units Sold</v>
      </c>
      <c r="E23" s="340" t="str">
        <f>'REV &amp; COGS'!Q34</f>
        <v>Sale $ per unit</v>
      </c>
      <c r="F23" s="340" t="str">
        <f>'REV &amp; COGS'!R34</f>
        <v>Oct - Mar Rev</v>
      </c>
      <c r="G23" s="279"/>
      <c r="H23" s="341" t="s">
        <v>47</v>
      </c>
      <c r="I23" s="342">
        <f>'Pro Forma Income Statement'!E12</f>
        <v>5462.0000000000018</v>
      </c>
      <c r="J23" s="342">
        <f>'Pro Forma Income Statement'!F12</f>
        <v>15561.000000000002</v>
      </c>
      <c r="K23" s="342">
        <f>'Pro Forma Income Statement'!G12</f>
        <v>15561.000000000002</v>
      </c>
      <c r="L23" s="342">
        <f>'Pro Forma Income Statement'!H12</f>
        <v>15561.000000000002</v>
      </c>
      <c r="M23" s="279"/>
      <c r="N23" s="1114" t="s">
        <v>84</v>
      </c>
      <c r="O23" s="1004"/>
      <c r="P23" s="1536"/>
      <c r="Q23" s="1536"/>
      <c r="R23" s="1536"/>
      <c r="S23" s="1536"/>
      <c r="T23" s="1536"/>
      <c r="U23" s="1537"/>
    </row>
    <row r="24" spans="2:21" ht="15" customHeight="1">
      <c r="B24" s="343" t="str">
        <f>'REV &amp; COGS'!A35</f>
        <v>Romaine</v>
      </c>
      <c r="C24" s="344">
        <f>'REV &amp; COGS'!K35</f>
        <v>0</v>
      </c>
      <c r="D24" s="345" t="str">
        <f>'REV &amp; COGS'!O35</f>
        <v/>
      </c>
      <c r="E24" s="346">
        <f>'REV &amp; COGS'!Q35</f>
        <v>0</v>
      </c>
      <c r="F24" s="346" t="str">
        <f>'REV &amp; COGS'!R35</f>
        <v/>
      </c>
      <c r="G24" s="279"/>
      <c r="H24" s="336" t="s">
        <v>48</v>
      </c>
      <c r="I24" s="323"/>
      <c r="J24" s="323"/>
      <c r="K24" s="323"/>
      <c r="L24" s="323"/>
      <c r="M24" s="279"/>
      <c r="N24" s="1115" t="s">
        <v>86</v>
      </c>
      <c r="O24" s="1116">
        <f>'Summary Data'!B49</f>
        <v>-50000</v>
      </c>
      <c r="P24" s="1538"/>
      <c r="Q24" s="1538"/>
      <c r="R24" s="1538"/>
      <c r="S24" s="1538"/>
      <c r="T24" s="1538"/>
      <c r="U24" s="1539"/>
    </row>
    <row r="25" spans="2:21" ht="15" customHeight="1">
      <c r="B25" s="343" t="str">
        <f>'REV &amp; COGS'!A36</f>
        <v>Bibb Lettuce</v>
      </c>
      <c r="C25" s="344">
        <f>'REV &amp; COGS'!K36</f>
        <v>0</v>
      </c>
      <c r="D25" s="345" t="str">
        <f>'REV &amp; COGS'!O36</f>
        <v/>
      </c>
      <c r="E25" s="346">
        <f>'REV &amp; COGS'!Q36</f>
        <v>0</v>
      </c>
      <c r="F25" s="346" t="str">
        <f>'REV &amp; COGS'!R36</f>
        <v/>
      </c>
      <c r="G25" s="279"/>
      <c r="H25" s="336" t="s">
        <v>49</v>
      </c>
      <c r="I25" s="337">
        <f>'Pro Forma Income Statement'!E17</f>
        <v>509.6</v>
      </c>
      <c r="J25" s="337">
        <f>'Pro Forma Income Statement'!F17</f>
        <v>509.6</v>
      </c>
      <c r="K25" s="337">
        <f>'Pro Forma Income Statement'!G17</f>
        <v>509.6</v>
      </c>
      <c r="L25" s="337">
        <f>'Pro Forma Income Statement'!H17</f>
        <v>509.6</v>
      </c>
      <c r="M25" s="279"/>
      <c r="N25" s="347"/>
    </row>
    <row r="26" spans="2:21" ht="15" customHeight="1">
      <c r="B26" s="343" t="str">
        <f>'REV &amp; COGS'!A37</f>
        <v>Green Star</v>
      </c>
      <c r="C26" s="344">
        <f>'REV &amp; COGS'!K37</f>
        <v>0</v>
      </c>
      <c r="D26" s="345" t="str">
        <f>'REV &amp; COGS'!O37</f>
        <v/>
      </c>
      <c r="E26" s="346">
        <f>'REV &amp; COGS'!Q37</f>
        <v>0</v>
      </c>
      <c r="F26" s="346" t="str">
        <f>'REV &amp; COGS'!R37</f>
        <v/>
      </c>
      <c r="G26" s="279"/>
      <c r="H26" s="389" t="s">
        <v>808</v>
      </c>
      <c r="I26" s="337">
        <f>'Pro Forma Income Statement'!E38</f>
        <v>44455.999999999993</v>
      </c>
      <c r="J26" s="337">
        <f>'Pro Forma Income Statement'!F38</f>
        <v>44455.999999999993</v>
      </c>
      <c r="K26" s="337">
        <f>'Pro Forma Income Statement'!G38</f>
        <v>44455.999999999993</v>
      </c>
      <c r="L26" s="337">
        <f>'Pro Forma Income Statement'!H38</f>
        <v>44455.999999999993</v>
      </c>
      <c r="M26" s="279"/>
      <c r="N26" s="279"/>
    </row>
    <row r="27" spans="2:21" ht="15" customHeight="1">
      <c r="B27" s="343" t="str">
        <f>'REV &amp; COGS'!A38</f>
        <v>Mustard Greens</v>
      </c>
      <c r="C27" s="344">
        <f>'REV &amp; COGS'!K38</f>
        <v>0</v>
      </c>
      <c r="D27" s="345" t="str">
        <f>'REV &amp; COGS'!O38</f>
        <v/>
      </c>
      <c r="E27" s="346">
        <f>'REV &amp; COGS'!Q38</f>
        <v>0</v>
      </c>
      <c r="F27" s="346" t="str">
        <f>'REV &amp; COGS'!R38</f>
        <v/>
      </c>
      <c r="G27" s="348"/>
      <c r="H27" s="341" t="s">
        <v>53</v>
      </c>
      <c r="I27" s="342">
        <f>I25+I26</f>
        <v>44965.599999999991</v>
      </c>
      <c r="J27" s="342">
        <f>J25+J26</f>
        <v>44965.599999999991</v>
      </c>
      <c r="K27" s="342">
        <f>K25+K26</f>
        <v>44965.599999999991</v>
      </c>
      <c r="L27" s="342">
        <f>L25+L26</f>
        <v>44965.599999999991</v>
      </c>
      <c r="M27" s="279"/>
      <c r="N27" s="279"/>
    </row>
    <row r="28" spans="2:21" ht="15" customHeight="1">
      <c r="B28" s="343" t="str">
        <f>'REV &amp; COGS'!A39</f>
        <v>Red Russian Kale</v>
      </c>
      <c r="C28" s="344">
        <f>'REV &amp; COGS'!K39</f>
        <v>0</v>
      </c>
      <c r="D28" s="345" t="str">
        <f>'REV &amp; COGS'!O39</f>
        <v/>
      </c>
      <c r="E28" s="346">
        <f>'REV &amp; COGS'!Q39</f>
        <v>0</v>
      </c>
      <c r="F28" s="346" t="str">
        <f>'REV &amp; COGS'!R39</f>
        <v/>
      </c>
      <c r="G28" s="348"/>
      <c r="H28" s="349" t="s">
        <v>55</v>
      </c>
      <c r="I28" s="350">
        <f>I23-I27</f>
        <v>-39503.599999999991</v>
      </c>
      <c r="J28" s="350">
        <f>J23-J27</f>
        <v>-29404.599999999991</v>
      </c>
      <c r="K28" s="350">
        <f>K23-K27</f>
        <v>-29404.599999999991</v>
      </c>
      <c r="L28" s="350">
        <f>L23-L27</f>
        <v>-29404.599999999991</v>
      </c>
      <c r="M28" s="279"/>
      <c r="N28" s="279"/>
    </row>
    <row r="29" spans="2:21" ht="12.3">
      <c r="B29" s="343" t="str">
        <f>'REV &amp; COGS'!A40</f>
        <v/>
      </c>
      <c r="C29" s="344">
        <f>'REV &amp; COGS'!K40</f>
        <v>0</v>
      </c>
      <c r="D29" s="345" t="str">
        <f>'REV &amp; COGS'!O40</f>
        <v/>
      </c>
      <c r="E29" s="346">
        <f>'REV &amp; COGS'!Q40</f>
        <v>0</v>
      </c>
      <c r="F29" s="346" t="str">
        <f>'REV &amp; COGS'!R40</f>
        <v/>
      </c>
      <c r="G29" s="348"/>
      <c r="H29" s="279"/>
      <c r="I29" s="279"/>
      <c r="J29" s="279"/>
      <c r="K29" s="279"/>
      <c r="L29" s="279"/>
      <c r="M29" s="279"/>
      <c r="N29" s="279"/>
    </row>
    <row r="30" spans="2:21" ht="12.3">
      <c r="B30" s="343" t="str">
        <f>'REV &amp; COGS'!A41</f>
        <v/>
      </c>
      <c r="C30" s="344">
        <f>'REV &amp; COGS'!K41</f>
        <v>0</v>
      </c>
      <c r="D30" s="345" t="str">
        <f>'REV &amp; COGS'!O41</f>
        <v/>
      </c>
      <c r="E30" s="346">
        <f>'REV &amp; COGS'!Q41</f>
        <v>0</v>
      </c>
      <c r="F30" s="346" t="str">
        <f>'REV &amp; COGS'!R41</f>
        <v/>
      </c>
      <c r="G30" s="348"/>
      <c r="H30" s="995" t="s">
        <v>59</v>
      </c>
      <c r="I30" s="995" t="str">
        <f>IF('Please Read First'!$C$11="metric", "Building m2", "Building ft2")</f>
        <v>Building ft2</v>
      </c>
      <c r="J30" s="1431">
        <f>'Startup Costs'!F4</f>
        <v>5000</v>
      </c>
      <c r="K30" s="279"/>
      <c r="L30" s="279"/>
      <c r="M30" s="279"/>
      <c r="N30" s="279"/>
    </row>
    <row r="31" spans="2:21" ht="12.3">
      <c r="B31" s="343" t="str">
        <f>'REV &amp; COGS'!A42</f>
        <v/>
      </c>
      <c r="C31" s="344">
        <f>'REV &amp; COGS'!K42</f>
        <v>0</v>
      </c>
      <c r="D31" s="345" t="str">
        <f>'REV &amp; COGS'!O42</f>
        <v/>
      </c>
      <c r="E31" s="346">
        <f>'REV &amp; COGS'!Q42</f>
        <v>0</v>
      </c>
      <c r="F31" s="346" t="str">
        <f>'REV &amp; COGS'!R42</f>
        <v/>
      </c>
      <c r="G31" s="279"/>
      <c r="H31" s="351" t="s">
        <v>63</v>
      </c>
      <c r="I31" s="352" t="s">
        <v>65</v>
      </c>
      <c r="J31" s="352" t="str">
        <f>IF('Please Read First'!$C$11="metric", "cost per m2", "cost per ft2")</f>
        <v>cost per ft2</v>
      </c>
      <c r="K31" s="279"/>
      <c r="L31" s="279"/>
      <c r="M31" s="279"/>
      <c r="N31" s="279"/>
    </row>
    <row r="32" spans="2:21" ht="12.3">
      <c r="B32" s="343" t="str">
        <f>'REV &amp; COGS'!A43</f>
        <v/>
      </c>
      <c r="C32" s="344">
        <f>'REV &amp; COGS'!K43</f>
        <v>0</v>
      </c>
      <c r="D32" s="345" t="str">
        <f>'REV &amp; COGS'!O43</f>
        <v/>
      </c>
      <c r="E32" s="346">
        <f>'REV &amp; COGS'!Q43</f>
        <v>0</v>
      </c>
      <c r="F32" s="346" t="str">
        <f>'REV &amp; COGS'!R43</f>
        <v/>
      </c>
      <c r="G32" s="348"/>
      <c r="H32" s="336" t="str">
        <f>'Startup Costs'!C10</f>
        <v>Greenhouse and/or Building Improvements</v>
      </c>
      <c r="I32" s="337">
        <f>'Startup Costs'!E10</f>
        <v>50000</v>
      </c>
      <c r="J32" s="337">
        <f>'Startup Costs'!F10</f>
        <v>10</v>
      </c>
      <c r="K32" s="279"/>
      <c r="L32" s="279"/>
      <c r="M32" s="279"/>
      <c r="N32" s="279"/>
    </row>
    <row r="33" spans="1:26" ht="12.3">
      <c r="B33" s="343" t="str">
        <f>'REV &amp; COGS'!A44</f>
        <v/>
      </c>
      <c r="C33" s="344">
        <f>'REV &amp; COGS'!K44</f>
        <v>0</v>
      </c>
      <c r="D33" s="345" t="str">
        <f>'REV &amp; COGS'!O44</f>
        <v/>
      </c>
      <c r="E33" s="346">
        <f>'REV &amp; COGS'!Q44</f>
        <v>0</v>
      </c>
      <c r="F33" s="346" t="str">
        <f>'REV &amp; COGS'!R44</f>
        <v/>
      </c>
      <c r="G33" s="348"/>
      <c r="H33" s="353" t="str">
        <f>'Startup Costs'!C26</f>
        <v>Aquaponic System</v>
      </c>
      <c r="I33" s="354">
        <f>'Startup Costs'!E26</f>
        <v>0</v>
      </c>
      <c r="J33" s="354">
        <f>'Startup Costs'!F26</f>
        <v>0</v>
      </c>
      <c r="K33" s="279"/>
      <c r="L33" s="279"/>
      <c r="M33" s="279"/>
      <c r="N33" s="279"/>
    </row>
    <row r="34" spans="1:26" ht="12.3">
      <c r="B34" s="343" t="str">
        <f>'REV &amp; COGS'!A45</f>
        <v/>
      </c>
      <c r="C34" s="344">
        <f>'REV &amp; COGS'!K45</f>
        <v>0</v>
      </c>
      <c r="D34" s="345" t="str">
        <f>'REV &amp; COGS'!O45</f>
        <v/>
      </c>
      <c r="E34" s="346">
        <f>'REV &amp; COGS'!Q45</f>
        <v>0</v>
      </c>
      <c r="F34" s="346" t="str">
        <f>'REV &amp; COGS'!R45</f>
        <v/>
      </c>
      <c r="G34" s="348"/>
      <c r="H34" s="353" t="str">
        <f>'Startup Costs'!C40</f>
        <v>City and County Entitlement</v>
      </c>
      <c r="I34" s="354">
        <f>'Startup Costs'!E40</f>
        <v>0</v>
      </c>
      <c r="J34" s="354">
        <f>'Startup Costs'!F40</f>
        <v>0</v>
      </c>
      <c r="K34" s="279"/>
      <c r="L34" s="279"/>
      <c r="M34" s="279"/>
      <c r="N34" s="294"/>
    </row>
    <row r="35" spans="1:26" ht="12.3">
      <c r="B35" s="343" t="str">
        <f>'REV &amp; COGS'!A46</f>
        <v/>
      </c>
      <c r="C35" s="344">
        <f>'REV &amp; COGS'!K46</f>
        <v>0</v>
      </c>
      <c r="D35" s="345" t="str">
        <f>'REV &amp; COGS'!O46</f>
        <v/>
      </c>
      <c r="E35" s="346">
        <f>'REV &amp; COGS'!Q46</f>
        <v>0</v>
      </c>
      <c r="F35" s="346" t="str">
        <f>'REV &amp; COGS'!R46</f>
        <v/>
      </c>
      <c r="G35" s="348"/>
      <c r="H35" s="353" t="str">
        <f>'Startup Costs'!C53</f>
        <v>Site Development</v>
      </c>
      <c r="I35" s="354">
        <f>'Startup Costs'!E53</f>
        <v>0</v>
      </c>
      <c r="J35" s="354">
        <f>'Startup Costs'!F53</f>
        <v>0</v>
      </c>
      <c r="K35" s="279"/>
      <c r="L35" s="279"/>
      <c r="M35" s="279"/>
      <c r="N35" s="279"/>
    </row>
    <row r="36" spans="1:26" ht="12.3">
      <c r="B36" s="343" t="str">
        <f>'REV &amp; COGS'!A47</f>
        <v/>
      </c>
      <c r="C36" s="344">
        <f>'REV &amp; COGS'!K47</f>
        <v>0</v>
      </c>
      <c r="D36" s="345" t="str">
        <f>'REV &amp; COGS'!O47</f>
        <v/>
      </c>
      <c r="E36" s="346">
        <f>'REV &amp; COGS'!Q47</f>
        <v>0</v>
      </c>
      <c r="F36" s="346" t="str">
        <f>'REV &amp; COGS'!R47</f>
        <v/>
      </c>
      <c r="G36" s="348"/>
      <c r="H36" s="353" t="str">
        <f>'Startup Costs'!C73</f>
        <v>FF&amp;E</v>
      </c>
      <c r="I36" s="354">
        <f>'Startup Costs'!E73</f>
        <v>0</v>
      </c>
      <c r="J36" s="354">
        <f>'Startup Costs'!F73</f>
        <v>0</v>
      </c>
      <c r="K36" s="279"/>
      <c r="L36" s="279"/>
      <c r="M36" s="279"/>
      <c r="N36" s="279"/>
    </row>
    <row r="37" spans="1:26" ht="12.3">
      <c r="B37" s="343" t="str">
        <f>'REV &amp; COGS'!A48</f>
        <v/>
      </c>
      <c r="C37" s="344">
        <f>'REV &amp; COGS'!K48</f>
        <v>0</v>
      </c>
      <c r="D37" s="345" t="str">
        <f>'REV &amp; COGS'!O48</f>
        <v/>
      </c>
      <c r="E37" s="346">
        <f>'REV &amp; COGS'!Q48</f>
        <v>0</v>
      </c>
      <c r="F37" s="346" t="str">
        <f>'REV &amp; COGS'!R48</f>
        <v/>
      </c>
      <c r="G37" s="348"/>
      <c r="H37" s="353" t="str">
        <f>'Startup Costs'!C87</f>
        <v>Farm Supplies</v>
      </c>
      <c r="I37" s="337">
        <f>'Startup Costs'!E87</f>
        <v>0</v>
      </c>
      <c r="J37" s="337">
        <f>'Startup Costs'!F87</f>
        <v>0</v>
      </c>
      <c r="K37" s="279"/>
      <c r="L37" s="279"/>
      <c r="M37" s="279"/>
      <c r="N37" s="279"/>
    </row>
    <row r="38" spans="1:26" ht="12.3">
      <c r="B38" s="333" t="s">
        <v>19</v>
      </c>
      <c r="C38" s="333"/>
      <c r="D38" s="334">
        <f>SUM(D24:D37)</f>
        <v>0</v>
      </c>
      <c r="E38" s="333"/>
      <c r="F38" s="355">
        <f>'REV &amp; COGS'!R49</f>
        <v>0</v>
      </c>
      <c r="G38" s="348"/>
      <c r="H38" s="356" t="s">
        <v>77</v>
      </c>
      <c r="I38" s="337">
        <f>SUM(I32:I37)</f>
        <v>50000</v>
      </c>
      <c r="J38" s="337">
        <f>'Startup Costs'!F5</f>
        <v>10</v>
      </c>
      <c r="K38" s="279"/>
      <c r="L38" s="279"/>
      <c r="M38" s="279"/>
      <c r="N38" s="279"/>
    </row>
    <row r="39" spans="1:26" ht="12.3">
      <c r="B39" s="279"/>
      <c r="C39" s="279"/>
      <c r="D39" s="279"/>
      <c r="E39" s="279"/>
      <c r="F39" s="279"/>
      <c r="G39" s="279"/>
      <c r="H39" s="356" t="s">
        <v>78</v>
      </c>
      <c r="I39" s="337">
        <f>'Startup Costs'!E6</f>
        <v>0</v>
      </c>
      <c r="J39" s="337"/>
      <c r="K39" s="279"/>
      <c r="L39" s="279"/>
      <c r="M39" s="279"/>
      <c r="N39" s="279"/>
    </row>
    <row r="40" spans="1:26" ht="17.399999999999999">
      <c r="B40" s="357" t="str">
        <f>'Plant &amp; Fish Production'!B31:C31</f>
        <v>Seedling Trays</v>
      </c>
      <c r="C40" s="358"/>
      <c r="D40" s="359"/>
      <c r="E40" s="360"/>
      <c r="F40" s="361"/>
      <c r="G40" s="279"/>
      <c r="H40" s="362" t="s">
        <v>80</v>
      </c>
      <c r="I40" s="363">
        <f>'Startup Costs'!E7</f>
        <v>50000</v>
      </c>
      <c r="J40" s="363">
        <f>'Startup Costs'!F7</f>
        <v>10</v>
      </c>
      <c r="K40" s="279"/>
      <c r="L40" s="279"/>
      <c r="M40" s="279"/>
      <c r="N40" s="279"/>
    </row>
    <row r="41" spans="1:26" ht="24.6">
      <c r="B41" s="319" t="str">
        <f>'Plant &amp; Fish Production'!B32:C32</f>
        <v>Number of plugs per tray</v>
      </c>
      <c r="C41" s="364">
        <f>'Plant &amp; Fish Production'!C32</f>
        <v>128</v>
      </c>
      <c r="D41" s="1533" t="s">
        <v>710</v>
      </c>
      <c r="E41" s="1477"/>
      <c r="F41" s="1478"/>
      <c r="G41" s="279"/>
      <c r="H41" s="365" t="s">
        <v>81</v>
      </c>
      <c r="I41" s="323">
        <f>'2 yr monthly cash flow'!B5</f>
        <v>0</v>
      </c>
      <c r="J41" s="344"/>
      <c r="K41" s="279"/>
      <c r="L41" s="279"/>
      <c r="M41" s="279"/>
      <c r="N41" s="279"/>
    </row>
    <row r="42" spans="1:26" ht="24.6">
      <c r="B42" s="319" t="str">
        <f>'Plant &amp; Fish Production'!B33:C33</f>
        <v>Weekly transplants</v>
      </c>
      <c r="C42" s="364">
        <f>'Plant &amp; Fish Production'!C33</f>
        <v>1120</v>
      </c>
      <c r="D42" s="1533" t="s">
        <v>85</v>
      </c>
      <c r="E42" s="1477"/>
      <c r="F42" s="1478"/>
      <c r="G42" s="279"/>
      <c r="H42" s="997" t="s">
        <v>89</v>
      </c>
      <c r="I42" s="1337">
        <f>I41+I40</f>
        <v>50000</v>
      </c>
      <c r="J42" s="367"/>
      <c r="K42" s="279"/>
      <c r="L42" s="279"/>
      <c r="M42" s="279"/>
      <c r="N42" s="279"/>
    </row>
    <row r="43" spans="1:26" ht="24.6">
      <c r="B43" s="366" t="str">
        <f>'Plant &amp; Fish Production'!B36:C36</f>
        <v>Weekly nursery trays to seed</v>
      </c>
      <c r="C43" s="364">
        <f>'Plant &amp; Fish Production'!C34</f>
        <v>8.75</v>
      </c>
      <c r="D43" s="1533" t="s">
        <v>88</v>
      </c>
      <c r="E43" s="1477"/>
      <c r="F43" s="1478"/>
      <c r="G43" s="279"/>
      <c r="H43" s="998" t="s">
        <v>82</v>
      </c>
      <c r="I43" s="1339">
        <f>AVERAGE('Summary Data'!J28:L28)</f>
        <v>-29404.599999999991</v>
      </c>
      <c r="J43" s="825"/>
      <c r="K43" s="279"/>
      <c r="L43" s="279"/>
      <c r="M43" s="279"/>
      <c r="N43" s="279"/>
    </row>
    <row r="44" spans="1:26" ht="12.3">
      <c r="B44" s="368"/>
      <c r="C44" s="279"/>
      <c r="D44" s="279"/>
      <c r="E44" s="279"/>
      <c r="F44" s="279"/>
      <c r="G44" s="279"/>
      <c r="H44" s="1336" t="s">
        <v>87</v>
      </c>
      <c r="I44" s="1338">
        <f>IFERROR(I43/I42, 0)</f>
        <v>-0.58809199999999984</v>
      </c>
      <c r="J44" s="996"/>
      <c r="K44" s="279"/>
      <c r="L44" s="279"/>
      <c r="M44" s="279"/>
      <c r="N44" s="279"/>
    </row>
    <row r="45" spans="1:26" ht="12.3">
      <c r="A45" s="3"/>
      <c r="B45" s="369"/>
      <c r="C45" s="369"/>
      <c r="D45" s="369"/>
      <c r="E45" s="369"/>
      <c r="F45" s="370"/>
      <c r="G45" s="370"/>
      <c r="K45" s="294"/>
      <c r="L45" s="294"/>
      <c r="M45" s="294"/>
      <c r="N45" s="294"/>
      <c r="O45" s="214"/>
      <c r="P45" s="214"/>
      <c r="Q45" s="214"/>
      <c r="R45" s="214"/>
      <c r="S45" s="3"/>
      <c r="T45" s="3"/>
      <c r="U45" s="3"/>
      <c r="V45" s="3"/>
      <c r="W45" s="3"/>
      <c r="X45" s="3"/>
      <c r="Y45" s="3"/>
      <c r="Z45" s="3"/>
    </row>
    <row r="46" spans="1:26" ht="15" customHeight="1">
      <c r="B46" s="279"/>
      <c r="C46" s="279"/>
      <c r="D46" s="279"/>
      <c r="E46" s="279"/>
      <c r="F46" s="279"/>
      <c r="G46" s="279"/>
      <c r="J46" s="999"/>
      <c r="K46" s="279"/>
      <c r="L46" s="279"/>
      <c r="M46" s="279"/>
      <c r="N46" s="279"/>
    </row>
    <row r="49" spans="2:13" ht="12.3" hidden="1">
      <c r="B49" s="390">
        <f>-('Startup Costs'!E7+'Startup Costs'!E8)</f>
        <v>-50000</v>
      </c>
      <c r="C49" s="391">
        <f>'Pro Forma Income Statement'!E40</f>
        <v>-39503.599999999991</v>
      </c>
      <c r="D49" s="391">
        <f>'Pro Forma Income Statement'!F40</f>
        <v>-29404.599999999991</v>
      </c>
      <c r="E49" s="391">
        <f>'Pro Forma Income Statement'!G40</f>
        <v>-29404.599999999991</v>
      </c>
      <c r="F49" s="391">
        <f>'Pro Forma Income Statement'!H40</f>
        <v>-29404.599999999991</v>
      </c>
      <c r="G49" s="225">
        <f>AVERAGE(D49:F49)</f>
        <v>-29404.599999999991</v>
      </c>
      <c r="H49" s="225">
        <f t="shared" ref="H49:M49" si="0">G49</f>
        <v>-29404.599999999991</v>
      </c>
      <c r="I49" s="225">
        <f t="shared" si="0"/>
        <v>-29404.599999999991</v>
      </c>
      <c r="J49" s="225">
        <f t="shared" si="0"/>
        <v>-29404.599999999991</v>
      </c>
      <c r="K49" s="225">
        <f t="shared" si="0"/>
        <v>-29404.599999999991</v>
      </c>
      <c r="L49" s="225">
        <f t="shared" si="0"/>
        <v>-29404.599999999991</v>
      </c>
      <c r="M49" s="225">
        <f t="shared" si="0"/>
        <v>-29404.599999999991</v>
      </c>
    </row>
    <row r="50" spans="2:13" ht="17.399999999999999">
      <c r="B50" s="207"/>
      <c r="C50" s="208"/>
      <c r="D50" s="205"/>
      <c r="E50" s="204"/>
    </row>
    <row r="51" spans="2:13" ht="17.399999999999999">
      <c r="B51" s="207"/>
      <c r="C51" s="208"/>
      <c r="D51" s="205"/>
      <c r="E51" s="204"/>
    </row>
    <row r="52" spans="2:13" ht="17.399999999999999">
      <c r="B52" s="207"/>
      <c r="C52" s="208"/>
      <c r="D52" s="205"/>
      <c r="E52" s="204"/>
    </row>
    <row r="53" spans="2:13" ht="17.399999999999999">
      <c r="B53" s="207"/>
      <c r="C53" s="208"/>
      <c r="D53" s="205"/>
      <c r="E53" s="204"/>
    </row>
    <row r="54" spans="2:13" ht="17.399999999999999">
      <c r="B54" s="207"/>
      <c r="C54" s="208"/>
      <c r="D54" s="205"/>
      <c r="E54" s="204"/>
    </row>
    <row r="55" spans="2:13" ht="17.399999999999999">
      <c r="B55" s="207"/>
      <c r="C55" s="208"/>
      <c r="D55" s="205"/>
      <c r="E55" s="204"/>
    </row>
    <row r="56" spans="2:13" ht="17.399999999999999">
      <c r="B56" s="207"/>
      <c r="C56" s="208"/>
      <c r="D56" s="205"/>
      <c r="E56" s="204"/>
    </row>
    <row r="57" spans="2:13" ht="17.399999999999999">
      <c r="B57" s="207"/>
      <c r="C57" s="208"/>
      <c r="D57" s="205"/>
      <c r="E57" s="204"/>
    </row>
    <row r="58" spans="2:13" ht="17.399999999999999">
      <c r="B58" s="207"/>
      <c r="C58" s="208"/>
      <c r="D58" s="205"/>
      <c r="E58" s="204"/>
    </row>
    <row r="59" spans="2:13" ht="17.399999999999999">
      <c r="B59" s="207"/>
      <c r="C59" s="208"/>
      <c r="D59" s="205"/>
      <c r="E59" s="204"/>
    </row>
    <row r="60" spans="2:13" ht="17.399999999999999">
      <c r="B60" s="207"/>
      <c r="C60" s="208"/>
      <c r="D60" s="205"/>
      <c r="E60" s="204"/>
    </row>
    <row r="61" spans="2:13" ht="17.399999999999999">
      <c r="B61" s="207"/>
      <c r="C61" s="208"/>
      <c r="D61" s="205"/>
      <c r="E61" s="204"/>
    </row>
    <row r="62" spans="2:13" ht="17.399999999999999">
      <c r="B62" s="207"/>
      <c r="C62" s="208"/>
      <c r="D62" s="205"/>
      <c r="E62" s="204"/>
    </row>
    <row r="63" spans="2:13" ht="17.399999999999999">
      <c r="B63" s="207"/>
      <c r="C63" s="208"/>
      <c r="D63" s="205"/>
      <c r="E63" s="204"/>
    </row>
    <row r="64" spans="2:13" ht="17.399999999999999">
      <c r="B64" s="207"/>
      <c r="C64" s="208"/>
      <c r="D64" s="205"/>
      <c r="E64" s="204"/>
    </row>
    <row r="65" spans="2:5" ht="17.399999999999999">
      <c r="B65" s="207"/>
      <c r="C65" s="208"/>
      <c r="D65" s="205"/>
      <c r="E65" s="204"/>
    </row>
    <row r="66" spans="2:5" ht="17.399999999999999">
      <c r="B66" s="207"/>
      <c r="C66" s="208"/>
      <c r="D66" s="205"/>
      <c r="E66" s="204"/>
    </row>
    <row r="67" spans="2:5" ht="17.399999999999999">
      <c r="B67" s="207"/>
      <c r="C67" s="208"/>
      <c r="D67" s="205"/>
      <c r="E67" s="204"/>
    </row>
    <row r="68" spans="2:5" ht="17.399999999999999">
      <c r="B68" s="207"/>
      <c r="C68" s="208"/>
      <c r="D68" s="205"/>
      <c r="E68" s="204"/>
    </row>
    <row r="69" spans="2:5" ht="17.399999999999999">
      <c r="B69" s="207"/>
      <c r="C69" s="208"/>
      <c r="D69" s="205"/>
      <c r="E69" s="204"/>
    </row>
    <row r="70" spans="2:5" ht="17.399999999999999">
      <c r="B70" s="207"/>
      <c r="C70" s="208"/>
      <c r="D70" s="205"/>
      <c r="E70" s="204"/>
    </row>
    <row r="71" spans="2:5" ht="17.399999999999999">
      <c r="B71" s="207"/>
      <c r="C71" s="208"/>
      <c r="D71" s="205"/>
      <c r="E71" s="204"/>
    </row>
    <row r="72" spans="2:5" ht="17.399999999999999">
      <c r="B72" s="207"/>
      <c r="C72" s="208"/>
      <c r="D72" s="205"/>
      <c r="E72" s="204"/>
    </row>
    <row r="73" spans="2:5" ht="17.399999999999999">
      <c r="B73" s="207"/>
      <c r="C73" s="208"/>
      <c r="D73" s="205"/>
      <c r="E73" s="204"/>
    </row>
    <row r="74" spans="2:5" ht="17.399999999999999">
      <c r="B74" s="207"/>
      <c r="C74" s="208"/>
      <c r="D74" s="205"/>
      <c r="E74" s="204"/>
    </row>
    <row r="75" spans="2:5" ht="17.399999999999999">
      <c r="B75" s="207"/>
      <c r="C75" s="208"/>
      <c r="D75" s="205"/>
      <c r="E75" s="204"/>
    </row>
    <row r="76" spans="2:5" ht="17.399999999999999">
      <c r="B76" s="207"/>
      <c r="C76" s="208"/>
      <c r="D76" s="205"/>
      <c r="E76" s="204"/>
    </row>
    <row r="77" spans="2:5" ht="17.399999999999999">
      <c r="B77" s="207"/>
      <c r="C77" s="208"/>
      <c r="D77" s="205"/>
      <c r="E77" s="204"/>
    </row>
    <row r="78" spans="2:5" ht="17.399999999999999">
      <c r="B78" s="207"/>
      <c r="C78" s="208"/>
      <c r="D78" s="205"/>
      <c r="E78" s="204"/>
    </row>
    <row r="79" spans="2:5" ht="17.399999999999999">
      <c r="B79" s="207"/>
      <c r="C79" s="208"/>
      <c r="D79" s="205"/>
      <c r="E79" s="204"/>
    </row>
    <row r="80" spans="2:5" ht="17.399999999999999">
      <c r="B80" s="207"/>
      <c r="C80" s="208"/>
      <c r="D80" s="205"/>
      <c r="E80" s="204"/>
    </row>
    <row r="81" spans="2:5" ht="17.399999999999999">
      <c r="B81" s="207"/>
      <c r="C81" s="208"/>
      <c r="D81" s="205"/>
      <c r="E81" s="204"/>
    </row>
    <row r="82" spans="2:5" ht="17.399999999999999">
      <c r="B82" s="207"/>
      <c r="C82" s="208"/>
      <c r="D82" s="205"/>
      <c r="E82" s="204"/>
    </row>
    <row r="83" spans="2:5" ht="17.399999999999999">
      <c r="B83" s="207"/>
      <c r="C83" s="208"/>
      <c r="D83" s="205"/>
      <c r="E83" s="204"/>
    </row>
    <row r="84" spans="2:5" ht="17.399999999999999">
      <c r="B84" s="207"/>
      <c r="C84" s="208"/>
      <c r="D84" s="205"/>
      <c r="E84" s="204"/>
    </row>
    <row r="85" spans="2:5" ht="17.399999999999999">
      <c r="B85" s="207"/>
      <c r="C85" s="208"/>
      <c r="D85" s="205"/>
      <c r="E85" s="204"/>
    </row>
    <row r="86" spans="2:5" ht="17.399999999999999">
      <c r="B86" s="207"/>
      <c r="C86" s="208"/>
      <c r="D86" s="205"/>
      <c r="E86" s="204"/>
    </row>
    <row r="87" spans="2:5" ht="17.399999999999999">
      <c r="B87" s="207"/>
      <c r="C87" s="208"/>
      <c r="D87" s="205"/>
      <c r="E87" s="204"/>
    </row>
    <row r="88" spans="2:5" ht="17.399999999999999">
      <c r="B88" s="207"/>
      <c r="C88" s="208"/>
      <c r="D88" s="205"/>
      <c r="E88" s="204"/>
    </row>
    <row r="89" spans="2:5" ht="17.399999999999999">
      <c r="B89" s="207"/>
      <c r="C89" s="208"/>
      <c r="D89" s="205"/>
      <c r="E89" s="204"/>
    </row>
    <row r="90" spans="2:5" ht="17.399999999999999">
      <c r="B90" s="207"/>
      <c r="C90" s="208"/>
      <c r="D90" s="205"/>
      <c r="E90" s="204"/>
    </row>
    <row r="91" spans="2:5" ht="17.399999999999999">
      <c r="B91" s="207"/>
      <c r="C91" s="208"/>
      <c r="D91" s="205"/>
      <c r="E91" s="204"/>
    </row>
    <row r="92" spans="2:5" ht="17.399999999999999">
      <c r="B92" s="207"/>
      <c r="C92" s="208"/>
      <c r="D92" s="205"/>
      <c r="E92" s="204"/>
    </row>
    <row r="93" spans="2:5" ht="17.399999999999999">
      <c r="B93" s="207"/>
      <c r="C93" s="208"/>
      <c r="D93" s="205"/>
      <c r="E93" s="204"/>
    </row>
    <row r="94" spans="2:5" ht="17.399999999999999">
      <c r="B94" s="207"/>
      <c r="C94" s="208"/>
      <c r="D94" s="205"/>
      <c r="E94" s="204"/>
    </row>
    <row r="95" spans="2:5" ht="17.399999999999999">
      <c r="B95" s="207"/>
      <c r="C95" s="208"/>
      <c r="D95" s="205"/>
      <c r="E95" s="204"/>
    </row>
    <row r="96" spans="2:5" ht="17.399999999999999">
      <c r="B96" s="207"/>
      <c r="C96" s="208"/>
      <c r="D96" s="205"/>
      <c r="E96" s="204"/>
    </row>
    <row r="97" spans="2:5" ht="17.399999999999999">
      <c r="B97" s="207"/>
      <c r="C97" s="208"/>
      <c r="D97" s="205"/>
      <c r="E97" s="204"/>
    </row>
    <row r="98" spans="2:5" ht="17.399999999999999">
      <c r="B98" s="207"/>
      <c r="C98" s="208"/>
      <c r="D98" s="205"/>
      <c r="E98" s="204"/>
    </row>
    <row r="99" spans="2:5" ht="17.399999999999999">
      <c r="B99" s="207"/>
      <c r="C99" s="208"/>
      <c r="D99" s="205"/>
      <c r="E99" s="204"/>
    </row>
    <row r="100" spans="2:5" ht="17.399999999999999">
      <c r="B100" s="207"/>
      <c r="C100" s="208"/>
      <c r="D100" s="205"/>
      <c r="E100" s="204"/>
    </row>
    <row r="101" spans="2:5" ht="17.399999999999999">
      <c r="B101" s="207"/>
      <c r="C101" s="208"/>
      <c r="D101" s="205"/>
      <c r="E101" s="204"/>
    </row>
    <row r="102" spans="2:5" ht="17.399999999999999">
      <c r="B102" s="207"/>
      <c r="C102" s="208"/>
      <c r="D102" s="205"/>
      <c r="E102" s="204"/>
    </row>
    <row r="103" spans="2:5" ht="17.399999999999999">
      <c r="B103" s="207"/>
      <c r="C103" s="208"/>
      <c r="D103" s="205"/>
      <c r="E103" s="204"/>
    </row>
    <row r="104" spans="2:5" ht="17.399999999999999">
      <c r="B104" s="207"/>
      <c r="C104" s="208"/>
      <c r="D104" s="205"/>
      <c r="E104" s="204"/>
    </row>
    <row r="105" spans="2:5" ht="17.399999999999999">
      <c r="B105" s="207"/>
      <c r="C105" s="208"/>
      <c r="D105" s="205"/>
      <c r="E105" s="204"/>
    </row>
    <row r="106" spans="2:5" ht="17.399999999999999">
      <c r="B106" s="207"/>
      <c r="C106" s="208"/>
      <c r="D106" s="205"/>
      <c r="E106" s="204"/>
    </row>
    <row r="107" spans="2:5" ht="17.399999999999999">
      <c r="B107" s="207"/>
      <c r="C107" s="208"/>
      <c r="D107" s="205"/>
      <c r="E107" s="204"/>
    </row>
    <row r="108" spans="2:5" ht="17.399999999999999">
      <c r="B108" s="207"/>
      <c r="C108" s="208"/>
      <c r="D108" s="205"/>
      <c r="E108" s="204"/>
    </row>
    <row r="109" spans="2:5" ht="17.399999999999999">
      <c r="B109" s="207"/>
      <c r="C109" s="208"/>
      <c r="D109" s="205"/>
      <c r="E109" s="204"/>
    </row>
    <row r="110" spans="2:5" ht="17.399999999999999">
      <c r="B110" s="207"/>
      <c r="C110" s="208"/>
      <c r="D110" s="205"/>
      <c r="E110" s="204"/>
    </row>
    <row r="111" spans="2:5" ht="17.399999999999999">
      <c r="B111" s="207"/>
      <c r="C111" s="208"/>
      <c r="D111" s="205"/>
      <c r="E111" s="204"/>
    </row>
    <row r="112" spans="2:5" ht="17.399999999999999">
      <c r="B112" s="207"/>
      <c r="C112" s="208"/>
      <c r="D112" s="205"/>
      <c r="E112" s="204"/>
    </row>
    <row r="113" spans="2:5" ht="17.399999999999999">
      <c r="B113" s="207"/>
      <c r="C113" s="208"/>
      <c r="D113" s="205"/>
      <c r="E113" s="204"/>
    </row>
    <row r="114" spans="2:5" ht="17.399999999999999">
      <c r="B114" s="207"/>
      <c r="C114" s="208"/>
      <c r="D114" s="205"/>
      <c r="E114" s="204"/>
    </row>
    <row r="115" spans="2:5" ht="17.399999999999999">
      <c r="B115" s="207"/>
      <c r="C115" s="208"/>
      <c r="D115" s="205"/>
      <c r="E115" s="204"/>
    </row>
    <row r="116" spans="2:5" ht="17.399999999999999">
      <c r="B116" s="207"/>
      <c r="C116" s="208"/>
      <c r="D116" s="205"/>
      <c r="E116" s="204"/>
    </row>
    <row r="117" spans="2:5" ht="17.399999999999999">
      <c r="B117" s="207"/>
      <c r="C117" s="208"/>
      <c r="D117" s="205"/>
      <c r="E117" s="204"/>
    </row>
    <row r="118" spans="2:5" ht="17.399999999999999">
      <c r="B118" s="207"/>
      <c r="C118" s="208"/>
      <c r="D118" s="205"/>
      <c r="E118" s="204"/>
    </row>
    <row r="119" spans="2:5" ht="17.399999999999999">
      <c r="B119" s="207"/>
      <c r="C119" s="208"/>
      <c r="D119" s="205"/>
      <c r="E119" s="204"/>
    </row>
    <row r="120" spans="2:5" ht="17.399999999999999">
      <c r="B120" s="207"/>
      <c r="C120" s="208"/>
      <c r="D120" s="205"/>
      <c r="E120" s="204"/>
    </row>
    <row r="121" spans="2:5" ht="17.399999999999999">
      <c r="B121" s="207"/>
      <c r="C121" s="208"/>
      <c r="D121" s="205"/>
      <c r="E121" s="204"/>
    </row>
    <row r="122" spans="2:5" ht="17.399999999999999">
      <c r="B122" s="207"/>
      <c r="C122" s="208"/>
      <c r="D122" s="205"/>
      <c r="E122" s="204"/>
    </row>
    <row r="123" spans="2:5" ht="17.399999999999999">
      <c r="B123" s="207"/>
      <c r="C123" s="208"/>
      <c r="D123" s="205"/>
      <c r="E123" s="204"/>
    </row>
    <row r="124" spans="2:5" ht="17.399999999999999">
      <c r="B124" s="207"/>
      <c r="C124" s="208"/>
      <c r="D124" s="205"/>
      <c r="E124" s="204"/>
    </row>
    <row r="125" spans="2:5" ht="17.399999999999999">
      <c r="B125" s="207"/>
      <c r="C125" s="208"/>
      <c r="D125" s="205"/>
      <c r="E125" s="204"/>
    </row>
    <row r="126" spans="2:5" ht="17.399999999999999">
      <c r="B126" s="207"/>
      <c r="C126" s="208"/>
      <c r="D126" s="205"/>
      <c r="E126" s="204"/>
    </row>
    <row r="127" spans="2:5" ht="17.399999999999999">
      <c r="B127" s="207"/>
      <c r="C127" s="208"/>
      <c r="D127" s="205"/>
      <c r="E127" s="204"/>
    </row>
    <row r="128" spans="2:5" ht="17.399999999999999">
      <c r="B128" s="207"/>
      <c r="C128" s="208"/>
      <c r="D128" s="205"/>
      <c r="E128" s="204"/>
    </row>
    <row r="129" spans="2:5" ht="17.399999999999999">
      <c r="B129" s="207"/>
      <c r="C129" s="208"/>
      <c r="D129" s="205"/>
      <c r="E129" s="204"/>
    </row>
    <row r="130" spans="2:5" ht="17.399999999999999">
      <c r="B130" s="207"/>
      <c r="C130" s="208"/>
      <c r="D130" s="205"/>
      <c r="E130" s="204"/>
    </row>
    <row r="131" spans="2:5" ht="17.399999999999999">
      <c r="B131" s="207"/>
      <c r="C131" s="208"/>
      <c r="D131" s="205"/>
      <c r="E131" s="204"/>
    </row>
    <row r="132" spans="2:5" ht="17.399999999999999">
      <c r="B132" s="207"/>
      <c r="C132" s="208"/>
      <c r="D132" s="205"/>
      <c r="E132" s="204"/>
    </row>
    <row r="133" spans="2:5" ht="17.399999999999999">
      <c r="B133" s="207"/>
      <c r="C133" s="208"/>
      <c r="D133" s="205"/>
      <c r="E133" s="204"/>
    </row>
    <row r="134" spans="2:5" ht="17.399999999999999">
      <c r="B134" s="207"/>
      <c r="C134" s="208"/>
      <c r="D134" s="205"/>
      <c r="E134" s="204"/>
    </row>
    <row r="135" spans="2:5" ht="17.399999999999999">
      <c r="B135" s="207"/>
      <c r="C135" s="208"/>
      <c r="D135" s="205"/>
      <c r="E135" s="204"/>
    </row>
    <row r="136" spans="2:5" ht="17.399999999999999">
      <c r="B136" s="207"/>
      <c r="C136" s="208"/>
      <c r="D136" s="205"/>
      <c r="E136" s="204"/>
    </row>
    <row r="137" spans="2:5" ht="17.399999999999999">
      <c r="B137" s="207"/>
      <c r="C137" s="208"/>
      <c r="D137" s="205"/>
      <c r="E137" s="204"/>
    </row>
    <row r="138" spans="2:5" ht="17.399999999999999">
      <c r="B138" s="207"/>
      <c r="C138" s="208"/>
      <c r="D138" s="205"/>
      <c r="E138" s="204"/>
    </row>
    <row r="139" spans="2:5" ht="17.399999999999999">
      <c r="B139" s="207"/>
      <c r="C139" s="208"/>
      <c r="D139" s="205"/>
      <c r="E139" s="204"/>
    </row>
    <row r="140" spans="2:5" ht="17.399999999999999">
      <c r="B140" s="207"/>
      <c r="C140" s="208"/>
      <c r="D140" s="205"/>
      <c r="E140" s="204"/>
    </row>
    <row r="141" spans="2:5" ht="17.399999999999999">
      <c r="B141" s="207"/>
      <c r="C141" s="208"/>
      <c r="D141" s="205"/>
      <c r="E141" s="204"/>
    </row>
    <row r="142" spans="2:5" ht="17.399999999999999">
      <c r="B142" s="207"/>
      <c r="C142" s="208"/>
      <c r="D142" s="205"/>
      <c r="E142" s="204"/>
    </row>
    <row r="143" spans="2:5" ht="17.399999999999999">
      <c r="B143" s="207"/>
      <c r="C143" s="208"/>
      <c r="D143" s="205"/>
      <c r="E143" s="204"/>
    </row>
    <row r="144" spans="2:5" ht="17.399999999999999">
      <c r="B144" s="207"/>
      <c r="C144" s="208"/>
      <c r="D144" s="205"/>
      <c r="E144" s="204"/>
    </row>
    <row r="145" spans="2:5" ht="17.399999999999999">
      <c r="B145" s="207"/>
      <c r="C145" s="208"/>
      <c r="D145" s="205"/>
      <c r="E145" s="204"/>
    </row>
    <row r="146" spans="2:5" ht="17.399999999999999">
      <c r="B146" s="207"/>
      <c r="C146" s="208"/>
      <c r="D146" s="205"/>
      <c r="E146" s="204"/>
    </row>
    <row r="147" spans="2:5" ht="17.399999999999999">
      <c r="B147" s="207"/>
      <c r="C147" s="208"/>
      <c r="D147" s="205"/>
      <c r="E147" s="204"/>
    </row>
    <row r="148" spans="2:5" ht="17.399999999999999">
      <c r="B148" s="207"/>
      <c r="C148" s="208"/>
      <c r="D148" s="205"/>
      <c r="E148" s="204"/>
    </row>
    <row r="149" spans="2:5" ht="17.399999999999999">
      <c r="B149" s="207"/>
      <c r="C149" s="208"/>
      <c r="D149" s="205"/>
      <c r="E149" s="204"/>
    </row>
    <row r="150" spans="2:5" ht="17.399999999999999">
      <c r="B150" s="207"/>
      <c r="C150" s="208"/>
      <c r="D150" s="205"/>
      <c r="E150" s="204"/>
    </row>
    <row r="151" spans="2:5" ht="17.399999999999999">
      <c r="B151" s="207"/>
      <c r="C151" s="208"/>
      <c r="D151" s="205"/>
      <c r="E151" s="204"/>
    </row>
    <row r="152" spans="2:5" ht="17.399999999999999">
      <c r="B152" s="207"/>
      <c r="C152" s="208"/>
      <c r="D152" s="205"/>
      <c r="E152" s="204"/>
    </row>
    <row r="153" spans="2:5" ht="17.399999999999999">
      <c r="B153" s="207"/>
      <c r="C153" s="208"/>
      <c r="D153" s="205"/>
      <c r="E153" s="204"/>
    </row>
    <row r="154" spans="2:5" ht="17.399999999999999">
      <c r="B154" s="207"/>
      <c r="C154" s="208"/>
      <c r="D154" s="205"/>
      <c r="E154" s="204"/>
    </row>
    <row r="155" spans="2:5" ht="17.399999999999999">
      <c r="B155" s="207"/>
      <c r="C155" s="208"/>
      <c r="D155" s="205"/>
      <c r="E155" s="204"/>
    </row>
    <row r="156" spans="2:5" ht="17.399999999999999">
      <c r="B156" s="207"/>
      <c r="C156" s="208"/>
      <c r="D156" s="205"/>
      <c r="E156" s="204"/>
    </row>
    <row r="157" spans="2:5" ht="17.399999999999999">
      <c r="B157" s="207"/>
      <c r="C157" s="208"/>
      <c r="D157" s="205"/>
      <c r="E157" s="204"/>
    </row>
    <row r="158" spans="2:5" ht="17.399999999999999">
      <c r="B158" s="207"/>
      <c r="C158" s="208"/>
      <c r="D158" s="205"/>
      <c r="E158" s="204"/>
    </row>
    <row r="159" spans="2:5" ht="17.399999999999999">
      <c r="B159" s="207"/>
      <c r="C159" s="208"/>
      <c r="D159" s="205"/>
      <c r="E159" s="204"/>
    </row>
    <row r="160" spans="2:5" ht="17.399999999999999">
      <c r="B160" s="207"/>
      <c r="C160" s="208"/>
      <c r="D160" s="205"/>
      <c r="E160" s="204"/>
    </row>
    <row r="161" spans="2:5" ht="17.399999999999999">
      <c r="B161" s="207"/>
      <c r="C161" s="208"/>
      <c r="D161" s="205"/>
      <c r="E161" s="204"/>
    </row>
    <row r="162" spans="2:5" ht="17.399999999999999">
      <c r="B162" s="207"/>
      <c r="C162" s="208"/>
      <c r="D162" s="205"/>
      <c r="E162" s="204"/>
    </row>
    <row r="163" spans="2:5" ht="17.399999999999999">
      <c r="B163" s="207"/>
      <c r="C163" s="208"/>
      <c r="D163" s="205"/>
      <c r="E163" s="204"/>
    </row>
    <row r="164" spans="2:5" ht="17.399999999999999">
      <c r="B164" s="207"/>
      <c r="C164" s="208"/>
      <c r="D164" s="205"/>
      <c r="E164" s="204"/>
    </row>
    <row r="165" spans="2:5" ht="17.399999999999999">
      <c r="B165" s="207"/>
      <c r="C165" s="208"/>
      <c r="D165" s="205"/>
      <c r="E165" s="204"/>
    </row>
    <row r="166" spans="2:5" ht="17.399999999999999">
      <c r="B166" s="207"/>
      <c r="C166" s="208"/>
      <c r="D166" s="205"/>
      <c r="E166" s="204"/>
    </row>
    <row r="167" spans="2:5" ht="17.399999999999999">
      <c r="B167" s="207"/>
      <c r="C167" s="208"/>
      <c r="D167" s="205"/>
      <c r="E167" s="204"/>
    </row>
    <row r="168" spans="2:5" ht="17.399999999999999">
      <c r="B168" s="207"/>
      <c r="C168" s="208"/>
      <c r="D168" s="205"/>
      <c r="E168" s="204"/>
    </row>
    <row r="169" spans="2:5" ht="17.399999999999999">
      <c r="B169" s="207"/>
      <c r="C169" s="208"/>
      <c r="D169" s="205"/>
      <c r="E169" s="204"/>
    </row>
    <row r="170" spans="2:5" ht="17.399999999999999">
      <c r="B170" s="207"/>
      <c r="C170" s="208"/>
      <c r="D170" s="205"/>
      <c r="E170" s="204"/>
    </row>
    <row r="171" spans="2:5" ht="17.399999999999999">
      <c r="B171" s="207"/>
      <c r="C171" s="208"/>
      <c r="D171" s="205"/>
      <c r="E171" s="204"/>
    </row>
    <row r="172" spans="2:5" ht="17.399999999999999">
      <c r="B172" s="207"/>
      <c r="C172" s="208"/>
      <c r="D172" s="205"/>
      <c r="E172" s="204"/>
    </row>
    <row r="173" spans="2:5" ht="17.399999999999999">
      <c r="B173" s="207"/>
      <c r="C173" s="208"/>
      <c r="D173" s="205"/>
      <c r="E173" s="204"/>
    </row>
    <row r="174" spans="2:5" ht="17.399999999999999">
      <c r="B174" s="207"/>
      <c r="C174" s="208"/>
      <c r="D174" s="205"/>
      <c r="E174" s="204"/>
    </row>
    <row r="175" spans="2:5" ht="17.399999999999999">
      <c r="B175" s="207"/>
      <c r="C175" s="208"/>
      <c r="D175" s="205"/>
      <c r="E175" s="204"/>
    </row>
    <row r="176" spans="2:5" ht="17.399999999999999">
      <c r="B176" s="207"/>
      <c r="C176" s="208"/>
      <c r="D176" s="205"/>
      <c r="E176" s="204"/>
    </row>
    <row r="177" spans="2:5" ht="17.399999999999999">
      <c r="B177" s="207"/>
      <c r="C177" s="208"/>
      <c r="D177" s="205"/>
      <c r="E177" s="204"/>
    </row>
    <row r="178" spans="2:5" ht="17.399999999999999">
      <c r="B178" s="207"/>
      <c r="C178" s="208"/>
      <c r="D178" s="205"/>
      <c r="E178" s="204"/>
    </row>
    <row r="179" spans="2:5" ht="17.399999999999999">
      <c r="B179" s="207"/>
      <c r="C179" s="208"/>
      <c r="D179" s="205"/>
      <c r="E179" s="204"/>
    </row>
    <row r="180" spans="2:5" ht="17.399999999999999">
      <c r="B180" s="207"/>
      <c r="C180" s="208"/>
      <c r="D180" s="205"/>
      <c r="E180" s="204"/>
    </row>
    <row r="181" spans="2:5" ht="17.399999999999999">
      <c r="B181" s="207"/>
      <c r="C181" s="208"/>
      <c r="D181" s="205"/>
      <c r="E181" s="204"/>
    </row>
    <row r="182" spans="2:5" ht="17.399999999999999">
      <c r="B182" s="207"/>
      <c r="C182" s="208"/>
      <c r="D182" s="205"/>
      <c r="E182" s="204"/>
    </row>
    <row r="183" spans="2:5" ht="17.399999999999999">
      <c r="B183" s="207"/>
      <c r="C183" s="208"/>
      <c r="D183" s="205"/>
      <c r="E183" s="204"/>
    </row>
    <row r="184" spans="2:5" ht="17.399999999999999">
      <c r="B184" s="207"/>
      <c r="C184" s="208"/>
      <c r="D184" s="205"/>
      <c r="E184" s="204"/>
    </row>
    <row r="185" spans="2:5" ht="17.399999999999999">
      <c r="B185" s="207"/>
      <c r="C185" s="208"/>
      <c r="D185" s="205"/>
      <c r="E185" s="204"/>
    </row>
    <row r="186" spans="2:5" ht="17.399999999999999">
      <c r="B186" s="207"/>
      <c r="C186" s="208"/>
      <c r="D186" s="205"/>
      <c r="E186" s="204"/>
    </row>
    <row r="187" spans="2:5" ht="17.399999999999999">
      <c r="B187" s="207"/>
      <c r="C187" s="208"/>
      <c r="D187" s="205"/>
      <c r="E187" s="204"/>
    </row>
    <row r="188" spans="2:5" ht="17.399999999999999">
      <c r="B188" s="207"/>
      <c r="C188" s="208"/>
      <c r="D188" s="205"/>
      <c r="E188" s="204"/>
    </row>
    <row r="189" spans="2:5" ht="17.399999999999999">
      <c r="B189" s="207"/>
      <c r="C189" s="208"/>
      <c r="D189" s="205"/>
      <c r="E189" s="204"/>
    </row>
    <row r="190" spans="2:5" ht="17.399999999999999">
      <c r="B190" s="207"/>
      <c r="C190" s="208"/>
      <c r="D190" s="205"/>
      <c r="E190" s="204"/>
    </row>
    <row r="191" spans="2:5" ht="17.399999999999999">
      <c r="B191" s="207"/>
      <c r="C191" s="208"/>
      <c r="D191" s="205"/>
      <c r="E191" s="204"/>
    </row>
    <row r="192" spans="2:5" ht="17.399999999999999">
      <c r="B192" s="207"/>
      <c r="C192" s="208"/>
      <c r="D192" s="205"/>
      <c r="E192" s="204"/>
    </row>
    <row r="193" spans="2:5" ht="17.399999999999999">
      <c r="B193" s="207"/>
      <c r="C193" s="208"/>
      <c r="D193" s="205"/>
      <c r="E193" s="204"/>
    </row>
    <row r="194" spans="2:5" ht="17.399999999999999">
      <c r="B194" s="207"/>
      <c r="C194" s="208"/>
      <c r="D194" s="205"/>
      <c r="E194" s="204"/>
    </row>
    <row r="195" spans="2:5" ht="17.399999999999999">
      <c r="B195" s="207"/>
      <c r="C195" s="208"/>
      <c r="D195" s="205"/>
      <c r="E195" s="204"/>
    </row>
    <row r="196" spans="2:5" ht="17.399999999999999">
      <c r="B196" s="207"/>
      <c r="C196" s="208"/>
      <c r="D196" s="205"/>
      <c r="E196" s="204"/>
    </row>
    <row r="197" spans="2:5" ht="17.399999999999999">
      <c r="B197" s="207"/>
      <c r="C197" s="208"/>
      <c r="D197" s="205"/>
      <c r="E197" s="204"/>
    </row>
    <row r="198" spans="2:5" ht="17.399999999999999">
      <c r="B198" s="207"/>
      <c r="C198" s="208"/>
      <c r="D198" s="205"/>
      <c r="E198" s="204"/>
    </row>
    <row r="199" spans="2:5" ht="17.399999999999999">
      <c r="B199" s="207"/>
      <c r="C199" s="208"/>
      <c r="D199" s="205"/>
      <c r="E199" s="204"/>
    </row>
    <row r="200" spans="2:5" ht="17.399999999999999">
      <c r="B200" s="207"/>
      <c r="C200" s="208"/>
      <c r="D200" s="205"/>
      <c r="E200" s="204"/>
    </row>
    <row r="201" spans="2:5" ht="17.399999999999999">
      <c r="B201" s="207"/>
      <c r="C201" s="208"/>
      <c r="D201" s="205"/>
      <c r="E201" s="204"/>
    </row>
    <row r="202" spans="2:5" ht="17.399999999999999">
      <c r="B202" s="207"/>
      <c r="C202" s="208"/>
      <c r="D202" s="205"/>
      <c r="E202" s="204"/>
    </row>
    <row r="203" spans="2:5" ht="17.399999999999999">
      <c r="B203" s="207"/>
      <c r="C203" s="208"/>
      <c r="D203" s="205"/>
      <c r="E203" s="204"/>
    </row>
    <row r="204" spans="2:5" ht="17.399999999999999">
      <c r="B204" s="207"/>
      <c r="C204" s="208"/>
      <c r="D204" s="205"/>
      <c r="E204" s="204"/>
    </row>
    <row r="205" spans="2:5" ht="17.399999999999999">
      <c r="B205" s="207"/>
      <c r="C205" s="208"/>
      <c r="D205" s="205"/>
      <c r="E205" s="204"/>
    </row>
    <row r="206" spans="2:5" ht="17.399999999999999">
      <c r="B206" s="207"/>
      <c r="C206" s="208"/>
      <c r="D206" s="205"/>
      <c r="E206" s="204"/>
    </row>
    <row r="207" spans="2:5" ht="17.399999999999999">
      <c r="B207" s="207"/>
      <c r="C207" s="208"/>
      <c r="D207" s="205"/>
      <c r="E207" s="204"/>
    </row>
    <row r="208" spans="2:5" ht="17.399999999999999">
      <c r="B208" s="207"/>
      <c r="C208" s="208"/>
      <c r="D208" s="205"/>
      <c r="E208" s="204"/>
    </row>
    <row r="209" spans="2:5" ht="17.399999999999999">
      <c r="B209" s="207"/>
      <c r="C209" s="208"/>
      <c r="D209" s="205"/>
      <c r="E209" s="204"/>
    </row>
    <row r="210" spans="2:5" ht="17.399999999999999">
      <c r="B210" s="207"/>
      <c r="C210" s="208"/>
      <c r="D210" s="205"/>
      <c r="E210" s="204"/>
    </row>
    <row r="211" spans="2:5" ht="17.399999999999999">
      <c r="B211" s="207"/>
      <c r="C211" s="208"/>
      <c r="D211" s="205"/>
      <c r="E211" s="204"/>
    </row>
    <row r="212" spans="2:5" ht="17.399999999999999">
      <c r="B212" s="207"/>
      <c r="C212" s="208"/>
      <c r="D212" s="205"/>
      <c r="E212" s="204"/>
    </row>
    <row r="213" spans="2:5" ht="17.399999999999999">
      <c r="B213" s="207"/>
      <c r="C213" s="208"/>
      <c r="D213" s="205"/>
      <c r="E213" s="204"/>
    </row>
    <row r="214" spans="2:5" ht="17.399999999999999">
      <c r="B214" s="207"/>
      <c r="C214" s="208"/>
      <c r="D214" s="205"/>
      <c r="E214" s="204"/>
    </row>
    <row r="215" spans="2:5" ht="17.399999999999999">
      <c r="B215" s="207"/>
      <c r="C215" s="208"/>
      <c r="D215" s="205"/>
      <c r="E215" s="204"/>
    </row>
    <row r="216" spans="2:5" ht="17.399999999999999">
      <c r="B216" s="207"/>
      <c r="C216" s="208"/>
      <c r="D216" s="205"/>
      <c r="E216" s="204"/>
    </row>
    <row r="217" spans="2:5" ht="17.399999999999999">
      <c r="B217" s="207"/>
      <c r="C217" s="208"/>
      <c r="D217" s="205"/>
      <c r="E217" s="204"/>
    </row>
    <row r="218" spans="2:5" ht="17.399999999999999">
      <c r="B218" s="207"/>
      <c r="C218" s="208"/>
      <c r="D218" s="205"/>
      <c r="E218" s="204"/>
    </row>
    <row r="219" spans="2:5" ht="17.399999999999999">
      <c r="B219" s="207"/>
      <c r="C219" s="208"/>
      <c r="D219" s="205"/>
      <c r="E219" s="204"/>
    </row>
    <row r="220" spans="2:5" ht="17.399999999999999">
      <c r="B220" s="207"/>
      <c r="C220" s="208"/>
      <c r="D220" s="205"/>
      <c r="E220" s="204"/>
    </row>
    <row r="221" spans="2:5" ht="17.399999999999999">
      <c r="B221" s="207"/>
      <c r="C221" s="208"/>
      <c r="D221" s="205"/>
      <c r="E221" s="204"/>
    </row>
    <row r="222" spans="2:5" ht="17.399999999999999">
      <c r="B222" s="207"/>
      <c r="C222" s="208"/>
      <c r="D222" s="205"/>
      <c r="E222" s="204"/>
    </row>
    <row r="223" spans="2:5" ht="17.399999999999999">
      <c r="B223" s="207"/>
      <c r="C223" s="208"/>
      <c r="D223" s="205"/>
      <c r="E223" s="204"/>
    </row>
    <row r="224" spans="2:5" ht="17.399999999999999">
      <c r="B224" s="207"/>
      <c r="C224" s="208"/>
      <c r="D224" s="205"/>
      <c r="E224" s="204"/>
    </row>
    <row r="225" spans="2:5" ht="17.399999999999999">
      <c r="B225" s="207"/>
      <c r="C225" s="208"/>
      <c r="D225" s="205"/>
      <c r="E225" s="204"/>
    </row>
    <row r="226" spans="2:5" ht="17.399999999999999">
      <c r="B226" s="207"/>
      <c r="C226" s="208"/>
      <c r="D226" s="205"/>
      <c r="E226" s="204"/>
    </row>
    <row r="227" spans="2:5" ht="17.399999999999999">
      <c r="B227" s="207"/>
      <c r="C227" s="208"/>
      <c r="D227" s="205"/>
      <c r="E227" s="204"/>
    </row>
    <row r="228" spans="2:5" ht="17.399999999999999">
      <c r="B228" s="207"/>
      <c r="C228" s="208"/>
      <c r="D228" s="205"/>
      <c r="E228" s="204"/>
    </row>
    <row r="229" spans="2:5" ht="17.399999999999999">
      <c r="B229" s="207"/>
      <c r="C229" s="208"/>
      <c r="D229" s="205"/>
      <c r="E229" s="204"/>
    </row>
    <row r="230" spans="2:5" ht="17.399999999999999">
      <c r="B230" s="207"/>
      <c r="C230" s="208"/>
      <c r="D230" s="205"/>
      <c r="E230" s="204"/>
    </row>
    <row r="231" spans="2:5" ht="17.399999999999999">
      <c r="B231" s="207"/>
      <c r="C231" s="208"/>
      <c r="D231" s="205"/>
      <c r="E231" s="204"/>
    </row>
    <row r="232" spans="2:5" ht="17.399999999999999">
      <c r="B232" s="207"/>
      <c r="C232" s="208"/>
      <c r="D232" s="205"/>
      <c r="E232" s="204"/>
    </row>
    <row r="233" spans="2:5" ht="17.399999999999999">
      <c r="B233" s="207"/>
      <c r="C233" s="208"/>
      <c r="D233" s="205"/>
      <c r="E233" s="204"/>
    </row>
    <row r="234" spans="2:5" ht="17.399999999999999">
      <c r="B234" s="207"/>
      <c r="C234" s="208"/>
      <c r="D234" s="205"/>
      <c r="E234" s="204"/>
    </row>
    <row r="235" spans="2:5" ht="17.399999999999999">
      <c r="B235" s="207"/>
      <c r="C235" s="208"/>
      <c r="D235" s="205"/>
      <c r="E235" s="204"/>
    </row>
    <row r="236" spans="2:5" ht="17.399999999999999">
      <c r="B236" s="207"/>
      <c r="C236" s="208"/>
      <c r="D236" s="205"/>
      <c r="E236" s="204"/>
    </row>
    <row r="237" spans="2:5" ht="17.399999999999999">
      <c r="B237" s="207"/>
      <c r="C237" s="208"/>
      <c r="D237" s="205"/>
      <c r="E237" s="204"/>
    </row>
    <row r="238" spans="2:5" ht="17.399999999999999">
      <c r="B238" s="207"/>
      <c r="C238" s="208"/>
      <c r="D238" s="205"/>
      <c r="E238" s="204"/>
    </row>
    <row r="239" spans="2:5" ht="17.399999999999999">
      <c r="B239" s="207"/>
      <c r="C239" s="208"/>
      <c r="D239" s="205"/>
      <c r="E239" s="204"/>
    </row>
    <row r="240" spans="2:5" ht="17.399999999999999">
      <c r="B240" s="207"/>
      <c r="C240" s="208"/>
      <c r="D240" s="205"/>
      <c r="E240" s="204"/>
    </row>
    <row r="241" spans="2:5" ht="17.399999999999999">
      <c r="B241" s="207"/>
      <c r="C241" s="208"/>
      <c r="D241" s="205"/>
      <c r="E241" s="204"/>
    </row>
    <row r="242" spans="2:5" ht="17.399999999999999">
      <c r="B242" s="207"/>
      <c r="C242" s="208"/>
      <c r="D242" s="205"/>
      <c r="E242" s="204"/>
    </row>
    <row r="243" spans="2:5" ht="17.399999999999999">
      <c r="B243" s="207"/>
      <c r="C243" s="208"/>
      <c r="D243" s="205"/>
      <c r="E243" s="204"/>
    </row>
    <row r="244" spans="2:5" ht="17.399999999999999">
      <c r="B244" s="207"/>
      <c r="C244" s="208"/>
      <c r="D244" s="205"/>
      <c r="E244" s="204"/>
    </row>
    <row r="245" spans="2:5" ht="17.399999999999999">
      <c r="B245" s="207"/>
      <c r="C245" s="208"/>
      <c r="D245" s="205"/>
      <c r="E245" s="204"/>
    </row>
    <row r="246" spans="2:5" ht="17.399999999999999">
      <c r="B246" s="207"/>
      <c r="C246" s="208"/>
      <c r="D246" s="205"/>
      <c r="E246" s="204"/>
    </row>
    <row r="247" spans="2:5" ht="17.399999999999999">
      <c r="B247" s="207"/>
      <c r="C247" s="208"/>
      <c r="D247" s="205"/>
      <c r="E247" s="204"/>
    </row>
    <row r="248" spans="2:5" ht="17.399999999999999">
      <c r="B248" s="207"/>
      <c r="C248" s="208"/>
      <c r="D248" s="205"/>
      <c r="E248" s="204"/>
    </row>
    <row r="249" spans="2:5" ht="17.399999999999999">
      <c r="B249" s="207"/>
      <c r="C249" s="208"/>
      <c r="D249" s="205"/>
      <c r="E249" s="204"/>
    </row>
    <row r="250" spans="2:5" ht="17.399999999999999">
      <c r="B250" s="207"/>
      <c r="C250" s="208"/>
      <c r="D250" s="205"/>
      <c r="E250" s="204"/>
    </row>
    <row r="251" spans="2:5" ht="17.399999999999999">
      <c r="B251" s="207"/>
      <c r="C251" s="208"/>
      <c r="D251" s="205"/>
      <c r="E251" s="204"/>
    </row>
    <row r="252" spans="2:5" ht="17.399999999999999">
      <c r="B252" s="207"/>
      <c r="C252" s="208"/>
      <c r="D252" s="205"/>
      <c r="E252" s="204"/>
    </row>
    <row r="253" spans="2:5" ht="17.399999999999999">
      <c r="B253" s="207"/>
      <c r="C253" s="208"/>
      <c r="D253" s="205"/>
      <c r="E253" s="204"/>
    </row>
    <row r="254" spans="2:5" ht="17.399999999999999">
      <c r="B254" s="207"/>
      <c r="C254" s="208"/>
      <c r="D254" s="205"/>
      <c r="E254" s="204"/>
    </row>
    <row r="255" spans="2:5" ht="17.399999999999999">
      <c r="B255" s="207"/>
      <c r="C255" s="208"/>
      <c r="D255" s="205"/>
      <c r="E255" s="204"/>
    </row>
    <row r="256" spans="2:5" ht="17.399999999999999">
      <c r="B256" s="207"/>
      <c r="C256" s="208"/>
      <c r="D256" s="205"/>
      <c r="E256" s="204"/>
    </row>
    <row r="257" spans="2:5" ht="17.399999999999999">
      <c r="B257" s="207"/>
      <c r="C257" s="208"/>
      <c r="D257" s="205"/>
      <c r="E257" s="204"/>
    </row>
    <row r="258" spans="2:5" ht="17.399999999999999">
      <c r="B258" s="207"/>
      <c r="C258" s="208"/>
      <c r="D258" s="205"/>
      <c r="E258" s="204"/>
    </row>
    <row r="259" spans="2:5" ht="17.399999999999999">
      <c r="B259" s="207"/>
      <c r="C259" s="208"/>
      <c r="D259" s="205"/>
      <c r="E259" s="204"/>
    </row>
    <row r="260" spans="2:5" ht="17.399999999999999">
      <c r="B260" s="207"/>
      <c r="C260" s="208"/>
      <c r="D260" s="205"/>
      <c r="E260" s="204"/>
    </row>
    <row r="261" spans="2:5" ht="17.399999999999999">
      <c r="B261" s="207"/>
      <c r="C261" s="208"/>
      <c r="D261" s="205"/>
      <c r="E261" s="204"/>
    </row>
    <row r="262" spans="2:5" ht="17.399999999999999">
      <c r="B262" s="207"/>
      <c r="C262" s="208"/>
      <c r="D262" s="205"/>
      <c r="E262" s="204"/>
    </row>
    <row r="263" spans="2:5" ht="17.399999999999999">
      <c r="B263" s="207"/>
      <c r="C263" s="208"/>
      <c r="D263" s="205"/>
      <c r="E263" s="204"/>
    </row>
    <row r="264" spans="2:5" ht="17.399999999999999">
      <c r="B264" s="207"/>
      <c r="C264" s="208"/>
      <c r="D264" s="205"/>
      <c r="E264" s="204"/>
    </row>
    <row r="265" spans="2:5" ht="17.399999999999999">
      <c r="B265" s="207"/>
      <c r="C265" s="208"/>
      <c r="D265" s="205"/>
      <c r="E265" s="204"/>
    </row>
    <row r="266" spans="2:5" ht="17.399999999999999">
      <c r="B266" s="207"/>
      <c r="C266" s="208"/>
      <c r="D266" s="205"/>
      <c r="E266" s="204"/>
    </row>
    <row r="267" spans="2:5" ht="17.399999999999999">
      <c r="B267" s="207"/>
      <c r="C267" s="208"/>
      <c r="D267" s="205"/>
      <c r="E267" s="204"/>
    </row>
    <row r="268" spans="2:5" ht="17.399999999999999">
      <c r="B268" s="207"/>
      <c r="C268" s="208"/>
      <c r="D268" s="205"/>
      <c r="E268" s="204"/>
    </row>
    <row r="269" spans="2:5" ht="17.399999999999999">
      <c r="B269" s="207"/>
      <c r="C269" s="208"/>
      <c r="D269" s="205"/>
      <c r="E269" s="204"/>
    </row>
    <row r="270" spans="2:5" ht="17.399999999999999">
      <c r="B270" s="207"/>
      <c r="C270" s="208"/>
      <c r="D270" s="205"/>
      <c r="E270" s="204"/>
    </row>
    <row r="271" spans="2:5" ht="17.399999999999999">
      <c r="B271" s="207"/>
      <c r="C271" s="208"/>
      <c r="D271" s="205"/>
      <c r="E271" s="204"/>
    </row>
    <row r="272" spans="2:5" ht="17.399999999999999">
      <c r="B272" s="207"/>
      <c r="C272" s="208"/>
      <c r="D272" s="205"/>
      <c r="E272" s="204"/>
    </row>
    <row r="273" spans="2:5" ht="17.399999999999999">
      <c r="B273" s="207"/>
      <c r="C273" s="208"/>
      <c r="D273" s="205"/>
      <c r="E273" s="204"/>
    </row>
    <row r="274" spans="2:5" ht="17.399999999999999">
      <c r="B274" s="207"/>
      <c r="C274" s="208"/>
      <c r="D274" s="205"/>
      <c r="E274" s="204"/>
    </row>
    <row r="275" spans="2:5" ht="17.399999999999999">
      <c r="B275" s="207"/>
      <c r="C275" s="208"/>
      <c r="D275" s="205"/>
      <c r="E275" s="204"/>
    </row>
    <row r="276" spans="2:5" ht="17.399999999999999">
      <c r="B276" s="207"/>
      <c r="C276" s="208"/>
      <c r="D276" s="205"/>
      <c r="E276" s="204"/>
    </row>
    <row r="277" spans="2:5" ht="17.399999999999999">
      <c r="B277" s="207"/>
      <c r="C277" s="208"/>
      <c r="D277" s="205"/>
      <c r="E277" s="204"/>
    </row>
    <row r="278" spans="2:5" ht="17.399999999999999">
      <c r="B278" s="207"/>
      <c r="C278" s="208"/>
      <c r="D278" s="205"/>
      <c r="E278" s="204"/>
    </row>
    <row r="279" spans="2:5" ht="17.399999999999999">
      <c r="B279" s="207"/>
      <c r="C279" s="208"/>
      <c r="D279" s="205"/>
      <c r="E279" s="204"/>
    </row>
    <row r="280" spans="2:5" ht="17.399999999999999">
      <c r="B280" s="207"/>
      <c r="C280" s="208"/>
      <c r="D280" s="205"/>
      <c r="E280" s="204"/>
    </row>
    <row r="281" spans="2:5" ht="17.399999999999999">
      <c r="B281" s="207"/>
      <c r="C281" s="208"/>
      <c r="D281" s="205"/>
      <c r="E281" s="204"/>
    </row>
    <row r="282" spans="2:5" ht="17.399999999999999">
      <c r="B282" s="207"/>
      <c r="C282" s="208"/>
      <c r="D282" s="205"/>
      <c r="E282" s="204"/>
    </row>
    <row r="283" spans="2:5" ht="17.399999999999999">
      <c r="B283" s="207"/>
      <c r="C283" s="208"/>
      <c r="D283" s="205"/>
      <c r="E283" s="204"/>
    </row>
    <row r="284" spans="2:5" ht="17.399999999999999">
      <c r="B284" s="207"/>
      <c r="C284" s="208"/>
      <c r="D284" s="205"/>
      <c r="E284" s="204"/>
    </row>
    <row r="285" spans="2:5" ht="17.399999999999999">
      <c r="B285" s="207"/>
      <c r="C285" s="208"/>
      <c r="D285" s="205"/>
      <c r="E285" s="204"/>
    </row>
    <row r="286" spans="2:5" ht="17.399999999999999">
      <c r="B286" s="207"/>
      <c r="C286" s="208"/>
      <c r="D286" s="205"/>
      <c r="E286" s="204"/>
    </row>
    <row r="287" spans="2:5" ht="17.399999999999999">
      <c r="B287" s="207"/>
      <c r="C287" s="208"/>
      <c r="D287" s="205"/>
      <c r="E287" s="204"/>
    </row>
    <row r="288" spans="2:5" ht="17.399999999999999">
      <c r="B288" s="207"/>
      <c r="C288" s="208"/>
      <c r="D288" s="205"/>
      <c r="E288" s="204"/>
    </row>
    <row r="289" spans="2:5" ht="17.399999999999999">
      <c r="B289" s="207"/>
      <c r="C289" s="208"/>
      <c r="D289" s="205"/>
      <c r="E289" s="204"/>
    </row>
    <row r="290" spans="2:5" ht="17.399999999999999">
      <c r="B290" s="207"/>
      <c r="C290" s="208"/>
      <c r="D290" s="205"/>
      <c r="E290" s="204"/>
    </row>
    <row r="291" spans="2:5" ht="17.399999999999999">
      <c r="B291" s="207"/>
      <c r="C291" s="208"/>
      <c r="D291" s="205"/>
      <c r="E291" s="204"/>
    </row>
    <row r="292" spans="2:5" ht="17.399999999999999">
      <c r="B292" s="207"/>
      <c r="C292" s="208"/>
      <c r="D292" s="205"/>
      <c r="E292" s="204"/>
    </row>
    <row r="293" spans="2:5" ht="17.399999999999999">
      <c r="B293" s="207"/>
      <c r="C293" s="208"/>
      <c r="D293" s="205"/>
      <c r="E293" s="204"/>
    </row>
    <row r="294" spans="2:5" ht="17.399999999999999">
      <c r="B294" s="207"/>
      <c r="C294" s="208"/>
      <c r="D294" s="205"/>
      <c r="E294" s="204"/>
    </row>
    <row r="295" spans="2:5" ht="17.399999999999999">
      <c r="B295" s="207"/>
      <c r="C295" s="208"/>
      <c r="D295" s="205"/>
      <c r="E295" s="204"/>
    </row>
    <row r="296" spans="2:5" ht="17.399999999999999">
      <c r="B296" s="207"/>
      <c r="C296" s="208"/>
      <c r="D296" s="205"/>
      <c r="E296" s="204"/>
    </row>
    <row r="297" spans="2:5" ht="17.399999999999999">
      <c r="B297" s="207"/>
      <c r="C297" s="208"/>
      <c r="D297" s="205"/>
      <c r="E297" s="204"/>
    </row>
    <row r="298" spans="2:5" ht="17.399999999999999">
      <c r="B298" s="207"/>
      <c r="C298" s="208"/>
      <c r="D298" s="205"/>
      <c r="E298" s="204"/>
    </row>
    <row r="299" spans="2:5" ht="17.399999999999999">
      <c r="B299" s="207"/>
      <c r="C299" s="208"/>
      <c r="D299" s="205"/>
      <c r="E299" s="204"/>
    </row>
    <row r="300" spans="2:5" ht="17.399999999999999">
      <c r="B300" s="207"/>
      <c r="C300" s="208"/>
      <c r="D300" s="205"/>
      <c r="E300" s="204"/>
    </row>
    <row r="301" spans="2:5" ht="17.399999999999999">
      <c r="B301" s="207"/>
      <c r="C301" s="208"/>
      <c r="D301" s="205"/>
      <c r="E301" s="204"/>
    </row>
    <row r="302" spans="2:5" ht="17.399999999999999">
      <c r="B302" s="207"/>
      <c r="C302" s="208"/>
      <c r="D302" s="205"/>
      <c r="E302" s="204"/>
    </row>
    <row r="303" spans="2:5" ht="17.399999999999999">
      <c r="B303" s="207"/>
      <c r="C303" s="208"/>
      <c r="D303" s="205"/>
      <c r="E303" s="204"/>
    </row>
    <row r="304" spans="2:5" ht="17.399999999999999">
      <c r="B304" s="207"/>
      <c r="C304" s="208"/>
      <c r="D304" s="205"/>
      <c r="E304" s="204"/>
    </row>
    <row r="305" spans="2:5" ht="17.399999999999999">
      <c r="B305" s="207"/>
      <c r="C305" s="208"/>
      <c r="D305" s="205"/>
      <c r="E305" s="204"/>
    </row>
    <row r="306" spans="2:5" ht="17.399999999999999">
      <c r="B306" s="207"/>
      <c r="C306" s="208"/>
      <c r="D306" s="205"/>
      <c r="E306" s="204"/>
    </row>
    <row r="307" spans="2:5" ht="17.399999999999999">
      <c r="B307" s="207"/>
      <c r="C307" s="208"/>
      <c r="D307" s="205"/>
      <c r="E307" s="204"/>
    </row>
    <row r="308" spans="2:5" ht="17.399999999999999">
      <c r="B308" s="207"/>
      <c r="C308" s="208"/>
      <c r="D308" s="205"/>
      <c r="E308" s="204"/>
    </row>
    <row r="309" spans="2:5" ht="17.399999999999999">
      <c r="B309" s="207"/>
      <c r="C309" s="208"/>
      <c r="D309" s="205"/>
      <c r="E309" s="204"/>
    </row>
    <row r="310" spans="2:5" ht="17.399999999999999">
      <c r="B310" s="207"/>
      <c r="C310" s="208"/>
      <c r="D310" s="205"/>
      <c r="E310" s="204"/>
    </row>
    <row r="311" spans="2:5" ht="17.399999999999999">
      <c r="B311" s="207"/>
      <c r="C311" s="208"/>
      <c r="D311" s="205"/>
      <c r="E311" s="204"/>
    </row>
    <row r="312" spans="2:5" ht="17.399999999999999">
      <c r="B312" s="207"/>
      <c r="C312" s="208"/>
      <c r="D312" s="205"/>
      <c r="E312" s="204"/>
    </row>
    <row r="313" spans="2:5" ht="17.399999999999999">
      <c r="B313" s="207"/>
      <c r="C313" s="208"/>
      <c r="D313" s="205"/>
      <c r="E313" s="204"/>
    </row>
    <row r="314" spans="2:5" ht="17.399999999999999">
      <c r="B314" s="207"/>
      <c r="C314" s="208"/>
      <c r="D314" s="205"/>
      <c r="E314" s="204"/>
    </row>
    <row r="315" spans="2:5" ht="17.399999999999999">
      <c r="B315" s="207"/>
      <c r="C315" s="208"/>
      <c r="D315" s="205"/>
      <c r="E315" s="204"/>
    </row>
    <row r="316" spans="2:5" ht="17.399999999999999">
      <c r="B316" s="207"/>
      <c r="C316" s="208"/>
      <c r="D316" s="205"/>
      <c r="E316" s="204"/>
    </row>
    <row r="317" spans="2:5" ht="17.399999999999999">
      <c r="B317" s="207"/>
      <c r="C317" s="208"/>
      <c r="D317" s="205"/>
      <c r="E317" s="204"/>
    </row>
    <row r="318" spans="2:5" ht="17.399999999999999">
      <c r="B318" s="207"/>
      <c r="C318" s="208"/>
      <c r="D318" s="205"/>
      <c r="E318" s="204"/>
    </row>
    <row r="319" spans="2:5" ht="17.399999999999999">
      <c r="B319" s="207"/>
      <c r="C319" s="208"/>
      <c r="D319" s="205"/>
      <c r="E319" s="204"/>
    </row>
    <row r="320" spans="2:5" ht="17.399999999999999">
      <c r="B320" s="207"/>
      <c r="C320" s="208"/>
      <c r="D320" s="205"/>
      <c r="E320" s="204"/>
    </row>
    <row r="321" spans="2:5" ht="17.399999999999999">
      <c r="B321" s="207"/>
      <c r="C321" s="208"/>
      <c r="D321" s="205"/>
      <c r="E321" s="204"/>
    </row>
    <row r="322" spans="2:5" ht="17.399999999999999">
      <c r="B322" s="207"/>
      <c r="C322" s="208"/>
      <c r="D322" s="205"/>
      <c r="E322" s="204"/>
    </row>
    <row r="323" spans="2:5" ht="17.399999999999999">
      <c r="B323" s="207"/>
      <c r="C323" s="208"/>
      <c r="D323" s="205"/>
      <c r="E323" s="204"/>
    </row>
    <row r="324" spans="2:5" ht="17.399999999999999">
      <c r="B324" s="207"/>
      <c r="C324" s="208"/>
      <c r="D324" s="205"/>
      <c r="E324" s="204"/>
    </row>
    <row r="325" spans="2:5" ht="17.399999999999999">
      <c r="B325" s="207"/>
      <c r="C325" s="208"/>
      <c r="D325" s="205"/>
      <c r="E325" s="204"/>
    </row>
    <row r="326" spans="2:5" ht="17.399999999999999">
      <c r="B326" s="207"/>
      <c r="C326" s="208"/>
      <c r="D326" s="205"/>
      <c r="E326" s="204"/>
    </row>
    <row r="327" spans="2:5" ht="17.399999999999999">
      <c r="B327" s="207"/>
      <c r="C327" s="208"/>
      <c r="D327" s="205"/>
      <c r="E327" s="204"/>
    </row>
    <row r="328" spans="2:5" ht="17.399999999999999">
      <c r="B328" s="207"/>
      <c r="C328" s="208"/>
      <c r="D328" s="205"/>
      <c r="E328" s="204"/>
    </row>
    <row r="329" spans="2:5" ht="17.399999999999999">
      <c r="B329" s="207"/>
      <c r="C329" s="208"/>
      <c r="D329" s="205"/>
      <c r="E329" s="204"/>
    </row>
    <row r="330" spans="2:5" ht="17.399999999999999">
      <c r="B330" s="207"/>
      <c r="C330" s="208"/>
      <c r="D330" s="205"/>
      <c r="E330" s="204"/>
    </row>
    <row r="331" spans="2:5" ht="17.399999999999999">
      <c r="B331" s="207"/>
      <c r="C331" s="208"/>
      <c r="D331" s="205"/>
      <c r="E331" s="204"/>
    </row>
    <row r="332" spans="2:5" ht="17.399999999999999">
      <c r="B332" s="207"/>
      <c r="C332" s="208"/>
      <c r="D332" s="205"/>
      <c r="E332" s="204"/>
    </row>
    <row r="333" spans="2:5" ht="17.399999999999999">
      <c r="B333" s="207"/>
      <c r="C333" s="208"/>
      <c r="D333" s="205"/>
      <c r="E333" s="204"/>
    </row>
    <row r="334" spans="2:5" ht="17.399999999999999">
      <c r="B334" s="207"/>
      <c r="C334" s="208"/>
      <c r="D334" s="205"/>
      <c r="E334" s="204"/>
    </row>
    <row r="335" spans="2:5" ht="17.399999999999999">
      <c r="B335" s="207"/>
      <c r="C335" s="208"/>
      <c r="D335" s="205"/>
      <c r="E335" s="204"/>
    </row>
    <row r="336" spans="2:5" ht="17.399999999999999">
      <c r="B336" s="207"/>
      <c r="C336" s="208"/>
      <c r="D336" s="205"/>
      <c r="E336" s="204"/>
    </row>
    <row r="337" spans="2:5" ht="17.399999999999999">
      <c r="B337" s="207"/>
      <c r="C337" s="208"/>
      <c r="D337" s="205"/>
      <c r="E337" s="204"/>
    </row>
    <row r="338" spans="2:5" ht="17.399999999999999">
      <c r="B338" s="207"/>
      <c r="C338" s="208"/>
      <c r="D338" s="205"/>
      <c r="E338" s="204"/>
    </row>
    <row r="339" spans="2:5" ht="17.399999999999999">
      <c r="B339" s="207"/>
      <c r="C339" s="208"/>
      <c r="D339" s="205"/>
      <c r="E339" s="204"/>
    </row>
    <row r="340" spans="2:5" ht="17.399999999999999">
      <c r="B340" s="207"/>
      <c r="C340" s="208"/>
      <c r="D340" s="205"/>
      <c r="E340" s="204"/>
    </row>
    <row r="341" spans="2:5" ht="17.399999999999999">
      <c r="B341" s="207"/>
      <c r="C341" s="208"/>
      <c r="D341" s="205"/>
      <c r="E341" s="204"/>
    </row>
    <row r="342" spans="2:5" ht="17.399999999999999">
      <c r="B342" s="207"/>
      <c r="C342" s="208"/>
      <c r="D342" s="205"/>
      <c r="E342" s="204"/>
    </row>
    <row r="343" spans="2:5" ht="17.399999999999999">
      <c r="B343" s="207"/>
      <c r="C343" s="208"/>
      <c r="D343" s="205"/>
      <c r="E343" s="204"/>
    </row>
    <row r="344" spans="2:5" ht="17.399999999999999">
      <c r="B344" s="207"/>
      <c r="C344" s="208"/>
      <c r="D344" s="205"/>
      <c r="E344" s="204"/>
    </row>
    <row r="345" spans="2:5" ht="17.399999999999999">
      <c r="B345" s="207"/>
      <c r="C345" s="208"/>
      <c r="D345" s="205"/>
      <c r="E345" s="204"/>
    </row>
    <row r="346" spans="2:5" ht="17.399999999999999">
      <c r="B346" s="207"/>
      <c r="C346" s="208"/>
      <c r="D346" s="205"/>
      <c r="E346" s="204"/>
    </row>
    <row r="347" spans="2:5" ht="17.399999999999999">
      <c r="B347" s="207"/>
      <c r="C347" s="208"/>
      <c r="D347" s="205"/>
      <c r="E347" s="204"/>
    </row>
    <row r="348" spans="2:5" ht="17.399999999999999">
      <c r="B348" s="207"/>
      <c r="C348" s="208"/>
      <c r="D348" s="205"/>
      <c r="E348" s="204"/>
    </row>
    <row r="349" spans="2:5" ht="17.399999999999999">
      <c r="B349" s="207"/>
      <c r="C349" s="208"/>
      <c r="D349" s="205"/>
      <c r="E349" s="204"/>
    </row>
    <row r="350" spans="2:5" ht="17.399999999999999">
      <c r="B350" s="207"/>
      <c r="C350" s="208"/>
      <c r="D350" s="205"/>
      <c r="E350" s="204"/>
    </row>
    <row r="351" spans="2:5" ht="17.399999999999999">
      <c r="B351" s="207"/>
      <c r="C351" s="208"/>
      <c r="D351" s="205"/>
      <c r="E351" s="204"/>
    </row>
    <row r="352" spans="2:5" ht="17.399999999999999">
      <c r="B352" s="207"/>
      <c r="C352" s="208"/>
      <c r="D352" s="205"/>
      <c r="E352" s="204"/>
    </row>
    <row r="353" spans="2:5" ht="17.399999999999999">
      <c r="B353" s="207"/>
      <c r="C353" s="208"/>
      <c r="D353" s="205"/>
      <c r="E353" s="204"/>
    </row>
    <row r="354" spans="2:5" ht="17.399999999999999">
      <c r="B354" s="207"/>
      <c r="C354" s="208"/>
      <c r="D354" s="205"/>
      <c r="E354" s="204"/>
    </row>
    <row r="355" spans="2:5" ht="17.399999999999999">
      <c r="B355" s="207"/>
      <c r="C355" s="208"/>
      <c r="D355" s="205"/>
      <c r="E355" s="204"/>
    </row>
    <row r="356" spans="2:5" ht="17.399999999999999">
      <c r="B356" s="207"/>
      <c r="C356" s="208"/>
      <c r="D356" s="205"/>
      <c r="E356" s="204"/>
    </row>
    <row r="357" spans="2:5" ht="17.399999999999999">
      <c r="B357" s="207"/>
      <c r="C357" s="208"/>
      <c r="D357" s="205"/>
      <c r="E357" s="204"/>
    </row>
    <row r="358" spans="2:5" ht="17.399999999999999">
      <c r="B358" s="207"/>
      <c r="C358" s="208"/>
      <c r="D358" s="205"/>
      <c r="E358" s="204"/>
    </row>
    <row r="359" spans="2:5" ht="17.399999999999999">
      <c r="B359" s="207"/>
      <c r="C359" s="208"/>
      <c r="D359" s="205"/>
      <c r="E359" s="204"/>
    </row>
    <row r="360" spans="2:5" ht="17.399999999999999">
      <c r="B360" s="207"/>
      <c r="C360" s="208"/>
      <c r="D360" s="205"/>
      <c r="E360" s="204"/>
    </row>
    <row r="361" spans="2:5" ht="17.399999999999999">
      <c r="B361" s="207"/>
      <c r="C361" s="208"/>
      <c r="D361" s="205"/>
      <c r="E361" s="204"/>
    </row>
    <row r="362" spans="2:5" ht="17.399999999999999">
      <c r="B362" s="207"/>
      <c r="C362" s="208"/>
      <c r="D362" s="205"/>
      <c r="E362" s="204"/>
    </row>
    <row r="363" spans="2:5" ht="17.399999999999999">
      <c r="B363" s="207"/>
      <c r="C363" s="208"/>
      <c r="D363" s="205"/>
      <c r="E363" s="204"/>
    </row>
    <row r="364" spans="2:5" ht="17.399999999999999">
      <c r="B364" s="207"/>
      <c r="C364" s="208"/>
      <c r="D364" s="205"/>
      <c r="E364" s="204"/>
    </row>
    <row r="365" spans="2:5" ht="17.399999999999999">
      <c r="B365" s="207"/>
      <c r="C365" s="208"/>
      <c r="D365" s="205"/>
      <c r="E365" s="204"/>
    </row>
    <row r="366" spans="2:5" ht="17.399999999999999">
      <c r="B366" s="207"/>
      <c r="C366" s="208"/>
      <c r="D366" s="205"/>
      <c r="E366" s="204"/>
    </row>
    <row r="367" spans="2:5" ht="17.399999999999999">
      <c r="B367" s="207"/>
      <c r="C367" s="208"/>
      <c r="D367" s="205"/>
      <c r="E367" s="204"/>
    </row>
    <row r="368" spans="2:5" ht="17.399999999999999">
      <c r="B368" s="207"/>
      <c r="C368" s="208"/>
      <c r="D368" s="205"/>
      <c r="E368" s="204"/>
    </row>
    <row r="369" spans="2:5" ht="17.399999999999999">
      <c r="B369" s="207"/>
      <c r="C369" s="208"/>
      <c r="D369" s="205"/>
      <c r="E369" s="204"/>
    </row>
    <row r="370" spans="2:5" ht="17.399999999999999">
      <c r="B370" s="207"/>
      <c r="C370" s="208"/>
      <c r="D370" s="205"/>
      <c r="E370" s="204"/>
    </row>
    <row r="371" spans="2:5" ht="17.399999999999999">
      <c r="B371" s="207"/>
      <c r="C371" s="208"/>
      <c r="D371" s="205"/>
      <c r="E371" s="204"/>
    </row>
    <row r="372" spans="2:5" ht="17.399999999999999">
      <c r="B372" s="207"/>
      <c r="C372" s="208"/>
      <c r="D372" s="205"/>
      <c r="E372" s="204"/>
    </row>
    <row r="373" spans="2:5" ht="17.399999999999999">
      <c r="B373" s="207"/>
      <c r="C373" s="208"/>
      <c r="D373" s="205"/>
      <c r="E373" s="204"/>
    </row>
    <row r="374" spans="2:5" ht="17.399999999999999">
      <c r="B374" s="207"/>
      <c r="C374" s="208"/>
      <c r="D374" s="205"/>
      <c r="E374" s="204"/>
    </row>
    <row r="375" spans="2:5" ht="17.399999999999999">
      <c r="B375" s="207"/>
      <c r="C375" s="208"/>
      <c r="D375" s="205"/>
      <c r="E375" s="204"/>
    </row>
    <row r="376" spans="2:5" ht="17.399999999999999">
      <c r="B376" s="207"/>
      <c r="C376" s="208"/>
      <c r="D376" s="205"/>
      <c r="E376" s="204"/>
    </row>
    <row r="377" spans="2:5" ht="17.399999999999999">
      <c r="B377" s="207"/>
      <c r="C377" s="208"/>
      <c r="D377" s="205"/>
      <c r="E377" s="204"/>
    </row>
    <row r="378" spans="2:5" ht="17.399999999999999">
      <c r="B378" s="207"/>
      <c r="C378" s="208"/>
      <c r="D378" s="205"/>
      <c r="E378" s="204"/>
    </row>
    <row r="379" spans="2:5" ht="17.399999999999999">
      <c r="B379" s="207"/>
      <c r="C379" s="208"/>
      <c r="D379" s="205"/>
      <c r="E379" s="204"/>
    </row>
    <row r="380" spans="2:5" ht="17.399999999999999">
      <c r="B380" s="207"/>
      <c r="C380" s="208"/>
      <c r="D380" s="205"/>
      <c r="E380" s="204"/>
    </row>
    <row r="381" spans="2:5" ht="17.399999999999999">
      <c r="B381" s="207"/>
      <c r="C381" s="208"/>
      <c r="D381" s="205"/>
      <c r="E381" s="204"/>
    </row>
    <row r="382" spans="2:5" ht="17.399999999999999">
      <c r="B382" s="207"/>
      <c r="C382" s="208"/>
      <c r="D382" s="205"/>
      <c r="E382" s="204"/>
    </row>
    <row r="383" spans="2:5" ht="17.399999999999999">
      <c r="B383" s="207"/>
      <c r="C383" s="208"/>
      <c r="D383" s="205"/>
      <c r="E383" s="204"/>
    </row>
    <row r="384" spans="2:5" ht="17.399999999999999">
      <c r="B384" s="207"/>
      <c r="C384" s="208"/>
      <c r="D384" s="205"/>
      <c r="E384" s="204"/>
    </row>
    <row r="385" spans="2:5" ht="17.399999999999999">
      <c r="B385" s="207"/>
      <c r="C385" s="208"/>
      <c r="D385" s="205"/>
      <c r="E385" s="204"/>
    </row>
    <row r="386" spans="2:5" ht="17.399999999999999">
      <c r="B386" s="207"/>
      <c r="C386" s="208"/>
      <c r="D386" s="205"/>
      <c r="E386" s="204"/>
    </row>
    <row r="387" spans="2:5" ht="17.399999999999999">
      <c r="B387" s="207"/>
      <c r="C387" s="208"/>
      <c r="D387" s="205"/>
      <c r="E387" s="204"/>
    </row>
    <row r="388" spans="2:5" ht="17.399999999999999">
      <c r="B388" s="207"/>
      <c r="C388" s="208"/>
      <c r="D388" s="205"/>
      <c r="E388" s="204"/>
    </row>
    <row r="389" spans="2:5" ht="17.399999999999999">
      <c r="B389" s="207"/>
      <c r="C389" s="208"/>
      <c r="D389" s="205"/>
      <c r="E389" s="204"/>
    </row>
    <row r="390" spans="2:5" ht="17.399999999999999">
      <c r="B390" s="207"/>
      <c r="C390" s="208"/>
      <c r="D390" s="205"/>
      <c r="E390" s="204"/>
    </row>
    <row r="391" spans="2:5" ht="17.399999999999999">
      <c r="B391" s="207"/>
      <c r="C391" s="208"/>
      <c r="D391" s="205"/>
      <c r="E391" s="204"/>
    </row>
    <row r="392" spans="2:5" ht="17.399999999999999">
      <c r="B392" s="207"/>
      <c r="C392" s="208"/>
      <c r="D392" s="205"/>
      <c r="E392" s="204"/>
    </row>
    <row r="393" spans="2:5" ht="17.399999999999999">
      <c r="B393" s="207"/>
      <c r="C393" s="208"/>
      <c r="D393" s="205"/>
      <c r="E393" s="204"/>
    </row>
    <row r="394" spans="2:5" ht="17.399999999999999">
      <c r="B394" s="207"/>
      <c r="C394" s="208"/>
      <c r="D394" s="205"/>
      <c r="E394" s="204"/>
    </row>
    <row r="395" spans="2:5" ht="17.399999999999999">
      <c r="B395" s="207"/>
      <c r="C395" s="208"/>
      <c r="D395" s="205"/>
      <c r="E395" s="204"/>
    </row>
    <row r="396" spans="2:5" ht="17.399999999999999">
      <c r="B396" s="207"/>
      <c r="C396" s="208"/>
      <c r="D396" s="205"/>
      <c r="E396" s="204"/>
    </row>
    <row r="397" spans="2:5" ht="17.399999999999999">
      <c r="B397" s="207"/>
      <c r="C397" s="208"/>
      <c r="D397" s="205"/>
      <c r="E397" s="204"/>
    </row>
    <row r="398" spans="2:5" ht="17.399999999999999">
      <c r="B398" s="207"/>
      <c r="C398" s="208"/>
      <c r="D398" s="205"/>
      <c r="E398" s="204"/>
    </row>
    <row r="399" spans="2:5" ht="17.399999999999999">
      <c r="B399" s="207"/>
      <c r="C399" s="208"/>
      <c r="D399" s="205"/>
      <c r="E399" s="204"/>
    </row>
    <row r="400" spans="2:5" ht="17.399999999999999">
      <c r="B400" s="207"/>
      <c r="C400" s="208"/>
      <c r="D400" s="205"/>
      <c r="E400" s="204"/>
    </row>
    <row r="401" spans="2:5" ht="17.399999999999999">
      <c r="B401" s="207"/>
      <c r="C401" s="208"/>
      <c r="D401" s="205"/>
      <c r="E401" s="204"/>
    </row>
    <row r="402" spans="2:5" ht="17.399999999999999">
      <c r="B402" s="207"/>
      <c r="C402" s="208"/>
      <c r="D402" s="205"/>
      <c r="E402" s="204"/>
    </row>
    <row r="403" spans="2:5" ht="17.399999999999999">
      <c r="B403" s="207"/>
      <c r="C403" s="208"/>
      <c r="D403" s="205"/>
      <c r="E403" s="204"/>
    </row>
    <row r="404" spans="2:5" ht="17.399999999999999">
      <c r="B404" s="207"/>
      <c r="C404" s="208"/>
      <c r="D404" s="205"/>
      <c r="E404" s="204"/>
    </row>
    <row r="405" spans="2:5" ht="17.399999999999999">
      <c r="B405" s="207"/>
      <c r="C405" s="208"/>
      <c r="D405" s="205"/>
      <c r="E405" s="204"/>
    </row>
    <row r="406" spans="2:5" ht="17.399999999999999">
      <c r="B406" s="207"/>
      <c r="C406" s="208"/>
      <c r="D406" s="205"/>
      <c r="E406" s="204"/>
    </row>
    <row r="407" spans="2:5" ht="17.399999999999999">
      <c r="B407" s="207"/>
      <c r="C407" s="208"/>
      <c r="D407" s="205"/>
      <c r="E407" s="204"/>
    </row>
    <row r="408" spans="2:5" ht="17.399999999999999">
      <c r="B408" s="207"/>
      <c r="C408" s="208"/>
      <c r="D408" s="205"/>
      <c r="E408" s="204"/>
    </row>
    <row r="409" spans="2:5" ht="17.399999999999999">
      <c r="B409" s="207"/>
      <c r="C409" s="208"/>
      <c r="D409" s="205"/>
      <c r="E409" s="204"/>
    </row>
    <row r="410" spans="2:5" ht="17.399999999999999">
      <c r="B410" s="207"/>
      <c r="C410" s="208"/>
      <c r="D410" s="205"/>
      <c r="E410" s="204"/>
    </row>
    <row r="411" spans="2:5" ht="17.399999999999999">
      <c r="B411" s="207"/>
      <c r="C411" s="208"/>
      <c r="D411" s="205"/>
      <c r="E411" s="204"/>
    </row>
    <row r="412" spans="2:5" ht="17.399999999999999">
      <c r="B412" s="207"/>
      <c r="C412" s="208"/>
      <c r="D412" s="205"/>
      <c r="E412" s="204"/>
    </row>
    <row r="413" spans="2:5" ht="17.399999999999999">
      <c r="B413" s="207"/>
      <c r="C413" s="208"/>
      <c r="D413" s="205"/>
      <c r="E413" s="204"/>
    </row>
    <row r="414" spans="2:5" ht="17.399999999999999">
      <c r="B414" s="207"/>
      <c r="C414" s="208"/>
      <c r="D414" s="205"/>
      <c r="E414" s="204"/>
    </row>
    <row r="415" spans="2:5" ht="17.399999999999999">
      <c r="B415" s="207"/>
      <c r="C415" s="208"/>
      <c r="D415" s="205"/>
      <c r="E415" s="204"/>
    </row>
    <row r="416" spans="2:5" ht="17.399999999999999">
      <c r="B416" s="207"/>
      <c r="C416" s="208"/>
      <c r="D416" s="205"/>
      <c r="E416" s="204"/>
    </row>
    <row r="417" spans="2:5" ht="17.399999999999999">
      <c r="B417" s="207"/>
      <c r="C417" s="208"/>
      <c r="D417" s="205"/>
      <c r="E417" s="204"/>
    </row>
    <row r="418" spans="2:5" ht="17.399999999999999">
      <c r="B418" s="207"/>
      <c r="C418" s="208"/>
      <c r="D418" s="205"/>
      <c r="E418" s="204"/>
    </row>
    <row r="419" spans="2:5" ht="17.399999999999999">
      <c r="B419" s="207"/>
      <c r="C419" s="208"/>
      <c r="D419" s="205"/>
      <c r="E419" s="204"/>
    </row>
    <row r="420" spans="2:5" ht="17.399999999999999">
      <c r="B420" s="207"/>
      <c r="C420" s="208"/>
      <c r="D420" s="205"/>
      <c r="E420" s="204"/>
    </row>
    <row r="421" spans="2:5" ht="17.399999999999999">
      <c r="B421" s="207"/>
      <c r="C421" s="208"/>
      <c r="D421" s="205"/>
      <c r="E421" s="204"/>
    </row>
    <row r="422" spans="2:5" ht="17.399999999999999">
      <c r="B422" s="207"/>
      <c r="C422" s="208"/>
      <c r="D422" s="205"/>
      <c r="E422" s="204"/>
    </row>
    <row r="423" spans="2:5" ht="17.399999999999999">
      <c r="B423" s="207"/>
      <c r="C423" s="208"/>
      <c r="D423" s="205"/>
      <c r="E423" s="204"/>
    </row>
    <row r="424" spans="2:5" ht="17.399999999999999">
      <c r="B424" s="207"/>
      <c r="C424" s="208"/>
      <c r="D424" s="205"/>
      <c r="E424" s="204"/>
    </row>
    <row r="425" spans="2:5" ht="17.399999999999999">
      <c r="B425" s="207"/>
      <c r="C425" s="208"/>
      <c r="D425" s="205"/>
      <c r="E425" s="204"/>
    </row>
    <row r="426" spans="2:5" ht="17.399999999999999">
      <c r="B426" s="207"/>
      <c r="C426" s="208"/>
      <c r="D426" s="205"/>
      <c r="E426" s="204"/>
    </row>
    <row r="427" spans="2:5" ht="17.399999999999999">
      <c r="B427" s="207"/>
      <c r="C427" s="208"/>
      <c r="D427" s="205"/>
      <c r="E427" s="204"/>
    </row>
    <row r="428" spans="2:5" ht="17.399999999999999">
      <c r="B428" s="207"/>
      <c r="C428" s="208"/>
      <c r="D428" s="205"/>
      <c r="E428" s="204"/>
    </row>
    <row r="429" spans="2:5" ht="17.399999999999999">
      <c r="B429" s="207"/>
      <c r="C429" s="208"/>
      <c r="D429" s="205"/>
      <c r="E429" s="204"/>
    </row>
    <row r="430" spans="2:5" ht="17.399999999999999">
      <c r="B430" s="207"/>
      <c r="C430" s="208"/>
      <c r="D430" s="205"/>
      <c r="E430" s="204"/>
    </row>
    <row r="431" spans="2:5" ht="17.399999999999999">
      <c r="B431" s="207"/>
      <c r="C431" s="208"/>
      <c r="D431" s="205"/>
      <c r="E431" s="204"/>
    </row>
    <row r="432" spans="2:5" ht="17.399999999999999">
      <c r="B432" s="207"/>
      <c r="C432" s="208"/>
      <c r="D432" s="205"/>
      <c r="E432" s="204"/>
    </row>
    <row r="433" spans="2:5" ht="17.399999999999999">
      <c r="B433" s="207"/>
      <c r="C433" s="208"/>
      <c r="D433" s="205"/>
      <c r="E433" s="204"/>
    </row>
    <row r="434" spans="2:5" ht="17.399999999999999">
      <c r="B434" s="207"/>
      <c r="C434" s="208"/>
      <c r="D434" s="205"/>
      <c r="E434" s="204"/>
    </row>
    <row r="435" spans="2:5" ht="17.399999999999999">
      <c r="B435" s="207"/>
      <c r="C435" s="208"/>
      <c r="D435" s="205"/>
      <c r="E435" s="204"/>
    </row>
    <row r="436" spans="2:5" ht="17.399999999999999">
      <c r="B436" s="207"/>
      <c r="C436" s="208"/>
      <c r="D436" s="205"/>
      <c r="E436" s="204"/>
    </row>
    <row r="437" spans="2:5" ht="17.399999999999999">
      <c r="B437" s="207"/>
      <c r="C437" s="208"/>
      <c r="D437" s="205"/>
      <c r="E437" s="204"/>
    </row>
    <row r="438" spans="2:5" ht="17.399999999999999">
      <c r="B438" s="207"/>
      <c r="C438" s="208"/>
      <c r="D438" s="205"/>
      <c r="E438" s="204"/>
    </row>
    <row r="439" spans="2:5" ht="17.399999999999999">
      <c r="B439" s="207"/>
      <c r="C439" s="208"/>
      <c r="D439" s="205"/>
      <c r="E439" s="204"/>
    </row>
    <row r="440" spans="2:5" ht="17.399999999999999">
      <c r="B440" s="207"/>
      <c r="C440" s="208"/>
      <c r="D440" s="205"/>
      <c r="E440" s="204"/>
    </row>
    <row r="441" spans="2:5" ht="17.399999999999999">
      <c r="B441" s="207"/>
      <c r="C441" s="208"/>
      <c r="D441" s="205"/>
      <c r="E441" s="204"/>
    </row>
    <row r="442" spans="2:5" ht="17.399999999999999">
      <c r="B442" s="207"/>
      <c r="C442" s="208"/>
      <c r="D442" s="205"/>
      <c r="E442" s="204"/>
    </row>
    <row r="443" spans="2:5" ht="17.399999999999999">
      <c r="B443" s="207"/>
      <c r="C443" s="208"/>
      <c r="D443" s="205"/>
      <c r="E443" s="204"/>
    </row>
    <row r="444" spans="2:5" ht="17.399999999999999">
      <c r="B444" s="207"/>
      <c r="C444" s="208"/>
      <c r="D444" s="205"/>
      <c r="E444" s="204"/>
    </row>
    <row r="445" spans="2:5" ht="17.399999999999999">
      <c r="B445" s="207"/>
      <c r="C445" s="208"/>
      <c r="D445" s="205"/>
      <c r="E445" s="204"/>
    </row>
    <row r="446" spans="2:5" ht="17.399999999999999">
      <c r="B446" s="207"/>
      <c r="C446" s="208"/>
      <c r="D446" s="205"/>
      <c r="E446" s="204"/>
    </row>
    <row r="447" spans="2:5" ht="17.399999999999999">
      <c r="B447" s="207"/>
      <c r="C447" s="208"/>
      <c r="D447" s="205"/>
      <c r="E447" s="204"/>
    </row>
    <row r="448" spans="2:5" ht="17.399999999999999">
      <c r="B448" s="207"/>
      <c r="C448" s="208"/>
      <c r="D448" s="205"/>
      <c r="E448" s="204"/>
    </row>
    <row r="449" spans="2:5" ht="17.399999999999999">
      <c r="B449" s="207"/>
      <c r="C449" s="208"/>
      <c r="D449" s="205"/>
      <c r="E449" s="204"/>
    </row>
    <row r="450" spans="2:5" ht="17.399999999999999">
      <c r="B450" s="207"/>
      <c r="C450" s="208"/>
      <c r="D450" s="205"/>
      <c r="E450" s="204"/>
    </row>
    <row r="451" spans="2:5" ht="17.399999999999999">
      <c r="B451" s="207"/>
      <c r="C451" s="208"/>
      <c r="D451" s="205"/>
      <c r="E451" s="204"/>
    </row>
    <row r="452" spans="2:5" ht="17.399999999999999">
      <c r="B452" s="207"/>
      <c r="C452" s="208"/>
      <c r="D452" s="205"/>
      <c r="E452" s="204"/>
    </row>
    <row r="453" spans="2:5" ht="17.399999999999999">
      <c r="B453" s="207"/>
      <c r="C453" s="208"/>
      <c r="D453" s="205"/>
      <c r="E453" s="204"/>
    </row>
    <row r="454" spans="2:5" ht="17.399999999999999">
      <c r="B454" s="207"/>
      <c r="C454" s="208"/>
      <c r="D454" s="205"/>
      <c r="E454" s="204"/>
    </row>
    <row r="455" spans="2:5" ht="17.399999999999999">
      <c r="B455" s="207"/>
      <c r="C455" s="208"/>
      <c r="D455" s="205"/>
      <c r="E455" s="204"/>
    </row>
    <row r="456" spans="2:5" ht="17.399999999999999">
      <c r="B456" s="207"/>
      <c r="C456" s="208"/>
      <c r="D456" s="205"/>
      <c r="E456" s="204"/>
    </row>
    <row r="457" spans="2:5" ht="17.399999999999999">
      <c r="B457" s="207"/>
      <c r="C457" s="208"/>
      <c r="D457" s="205"/>
      <c r="E457" s="204"/>
    </row>
    <row r="458" spans="2:5" ht="17.399999999999999">
      <c r="B458" s="207"/>
      <c r="C458" s="208"/>
      <c r="D458" s="205"/>
      <c r="E458" s="204"/>
    </row>
    <row r="459" spans="2:5" ht="17.399999999999999">
      <c r="B459" s="207"/>
      <c r="C459" s="208"/>
      <c r="D459" s="205"/>
      <c r="E459" s="204"/>
    </row>
    <row r="460" spans="2:5" ht="17.399999999999999">
      <c r="B460" s="207"/>
      <c r="C460" s="208"/>
      <c r="D460" s="205"/>
      <c r="E460" s="204"/>
    </row>
    <row r="461" spans="2:5" ht="17.399999999999999">
      <c r="B461" s="207"/>
      <c r="C461" s="208"/>
      <c r="D461" s="205"/>
      <c r="E461" s="204"/>
    </row>
    <row r="462" spans="2:5" ht="17.399999999999999">
      <c r="B462" s="207"/>
      <c r="C462" s="208"/>
      <c r="D462" s="205"/>
      <c r="E462" s="204"/>
    </row>
    <row r="463" spans="2:5" ht="17.399999999999999">
      <c r="B463" s="207"/>
      <c r="C463" s="208"/>
      <c r="D463" s="205"/>
      <c r="E463" s="204"/>
    </row>
    <row r="464" spans="2:5" ht="17.399999999999999">
      <c r="B464" s="207"/>
      <c r="C464" s="208"/>
      <c r="D464" s="205"/>
      <c r="E464" s="204"/>
    </row>
    <row r="465" spans="2:5" ht="17.399999999999999">
      <c r="B465" s="207"/>
      <c r="C465" s="208"/>
      <c r="D465" s="205"/>
      <c r="E465" s="204"/>
    </row>
    <row r="466" spans="2:5" ht="17.399999999999999">
      <c r="B466" s="207"/>
      <c r="C466" s="208"/>
      <c r="D466" s="205"/>
      <c r="E466" s="204"/>
    </row>
    <row r="467" spans="2:5" ht="17.399999999999999">
      <c r="B467" s="207"/>
      <c r="C467" s="208"/>
      <c r="D467" s="205"/>
      <c r="E467" s="204"/>
    </row>
    <row r="468" spans="2:5" ht="17.399999999999999">
      <c r="B468" s="207"/>
      <c r="C468" s="208"/>
      <c r="D468" s="205"/>
      <c r="E468" s="204"/>
    </row>
    <row r="469" spans="2:5" ht="17.399999999999999">
      <c r="B469" s="207"/>
      <c r="C469" s="208"/>
      <c r="D469" s="205"/>
      <c r="E469" s="204"/>
    </row>
    <row r="470" spans="2:5" ht="17.399999999999999">
      <c r="B470" s="207"/>
      <c r="C470" s="208"/>
      <c r="D470" s="205"/>
      <c r="E470" s="204"/>
    </row>
    <row r="471" spans="2:5" ht="17.399999999999999">
      <c r="B471" s="207"/>
      <c r="C471" s="208"/>
      <c r="D471" s="205"/>
      <c r="E471" s="204"/>
    </row>
    <row r="472" spans="2:5" ht="17.399999999999999">
      <c r="B472" s="207"/>
      <c r="C472" s="208"/>
      <c r="D472" s="205"/>
      <c r="E472" s="204"/>
    </row>
    <row r="473" spans="2:5" ht="17.399999999999999">
      <c r="B473" s="207"/>
      <c r="C473" s="208"/>
      <c r="D473" s="205"/>
      <c r="E473" s="204"/>
    </row>
    <row r="474" spans="2:5" ht="17.399999999999999">
      <c r="B474" s="207"/>
      <c r="C474" s="208"/>
      <c r="D474" s="205"/>
      <c r="E474" s="204"/>
    </row>
    <row r="475" spans="2:5" ht="17.399999999999999">
      <c r="B475" s="207"/>
      <c r="C475" s="208"/>
      <c r="D475" s="205"/>
      <c r="E475" s="204"/>
    </row>
    <row r="476" spans="2:5" ht="17.399999999999999">
      <c r="B476" s="207"/>
      <c r="C476" s="208"/>
      <c r="D476" s="205"/>
      <c r="E476" s="204"/>
    </row>
    <row r="477" spans="2:5" ht="17.399999999999999">
      <c r="B477" s="207"/>
      <c r="C477" s="208"/>
      <c r="D477" s="205"/>
      <c r="E477" s="204"/>
    </row>
    <row r="478" spans="2:5" ht="17.399999999999999">
      <c r="B478" s="207"/>
      <c r="C478" s="208"/>
      <c r="D478" s="205"/>
      <c r="E478" s="204"/>
    </row>
    <row r="479" spans="2:5" ht="17.399999999999999">
      <c r="B479" s="207"/>
      <c r="C479" s="208"/>
      <c r="D479" s="205"/>
      <c r="E479" s="204"/>
    </row>
    <row r="480" spans="2:5" ht="17.399999999999999">
      <c r="B480" s="207"/>
      <c r="C480" s="208"/>
      <c r="D480" s="205"/>
      <c r="E480" s="204"/>
    </row>
    <row r="481" spans="2:5" ht="17.399999999999999">
      <c r="B481" s="207"/>
      <c r="C481" s="208"/>
      <c r="D481" s="205"/>
      <c r="E481" s="204"/>
    </row>
    <row r="482" spans="2:5" ht="17.399999999999999">
      <c r="B482" s="207"/>
      <c r="C482" s="208"/>
      <c r="D482" s="205"/>
      <c r="E482" s="204"/>
    </row>
    <row r="483" spans="2:5" ht="17.399999999999999">
      <c r="B483" s="207"/>
      <c r="C483" s="208"/>
      <c r="D483" s="205"/>
      <c r="E483" s="204"/>
    </row>
    <row r="484" spans="2:5" ht="17.399999999999999">
      <c r="B484" s="207"/>
      <c r="C484" s="208"/>
      <c r="D484" s="205"/>
      <c r="E484" s="204"/>
    </row>
    <row r="485" spans="2:5" ht="17.399999999999999">
      <c r="B485" s="207"/>
      <c r="C485" s="208"/>
      <c r="D485" s="205"/>
      <c r="E485" s="204"/>
    </row>
    <row r="486" spans="2:5" ht="17.399999999999999">
      <c r="B486" s="207"/>
      <c r="C486" s="208"/>
      <c r="D486" s="205"/>
      <c r="E486" s="204"/>
    </row>
    <row r="487" spans="2:5" ht="17.399999999999999">
      <c r="B487" s="207"/>
      <c r="C487" s="208"/>
      <c r="D487" s="205"/>
      <c r="E487" s="204"/>
    </row>
    <row r="488" spans="2:5" ht="17.399999999999999">
      <c r="B488" s="207"/>
      <c r="C488" s="208"/>
      <c r="D488" s="205"/>
      <c r="E488" s="204"/>
    </row>
    <row r="489" spans="2:5" ht="17.399999999999999">
      <c r="B489" s="207"/>
      <c r="C489" s="208"/>
      <c r="D489" s="205"/>
      <c r="E489" s="204"/>
    </row>
    <row r="490" spans="2:5" ht="17.399999999999999">
      <c r="B490" s="207"/>
      <c r="C490" s="208"/>
      <c r="D490" s="205"/>
      <c r="E490" s="204"/>
    </row>
    <row r="491" spans="2:5" ht="17.399999999999999">
      <c r="B491" s="207"/>
      <c r="C491" s="208"/>
      <c r="D491" s="205"/>
      <c r="E491" s="204"/>
    </row>
    <row r="492" spans="2:5" ht="17.399999999999999">
      <c r="B492" s="207"/>
      <c r="C492" s="208"/>
      <c r="D492" s="205"/>
      <c r="E492" s="204"/>
    </row>
    <row r="493" spans="2:5" ht="17.399999999999999">
      <c r="B493" s="207"/>
      <c r="C493" s="208"/>
      <c r="D493" s="205"/>
      <c r="E493" s="204"/>
    </row>
    <row r="494" spans="2:5" ht="17.399999999999999">
      <c r="B494" s="207"/>
      <c r="C494" s="208"/>
      <c r="D494" s="205"/>
      <c r="E494" s="204"/>
    </row>
    <row r="495" spans="2:5" ht="17.399999999999999">
      <c r="B495" s="207"/>
      <c r="C495" s="208"/>
      <c r="D495" s="205"/>
      <c r="E495" s="204"/>
    </row>
    <row r="496" spans="2:5" ht="17.399999999999999">
      <c r="B496" s="207"/>
      <c r="C496" s="208"/>
      <c r="D496" s="205"/>
      <c r="E496" s="204"/>
    </row>
    <row r="497" spans="2:5" ht="17.399999999999999">
      <c r="B497" s="207"/>
      <c r="C497" s="208"/>
      <c r="D497" s="205"/>
      <c r="E497" s="204"/>
    </row>
    <row r="498" spans="2:5" ht="17.399999999999999">
      <c r="B498" s="207"/>
      <c r="C498" s="208"/>
      <c r="D498" s="205"/>
      <c r="E498" s="204"/>
    </row>
    <row r="499" spans="2:5" ht="17.399999999999999">
      <c r="B499" s="207"/>
      <c r="C499" s="208"/>
      <c r="D499" s="205"/>
      <c r="E499" s="204"/>
    </row>
    <row r="500" spans="2:5" ht="17.399999999999999">
      <c r="B500" s="207"/>
      <c r="C500" s="208"/>
      <c r="D500" s="205"/>
      <c r="E500" s="204"/>
    </row>
    <row r="501" spans="2:5" ht="17.399999999999999">
      <c r="B501" s="207"/>
      <c r="C501" s="208"/>
      <c r="D501" s="205"/>
      <c r="E501" s="204"/>
    </row>
    <row r="502" spans="2:5" ht="17.399999999999999">
      <c r="B502" s="207"/>
      <c r="C502" s="208"/>
      <c r="D502" s="205"/>
      <c r="E502" s="204"/>
    </row>
    <row r="503" spans="2:5" ht="17.399999999999999">
      <c r="B503" s="207"/>
      <c r="C503" s="208"/>
      <c r="D503" s="205"/>
      <c r="E503" s="204"/>
    </row>
    <row r="504" spans="2:5" ht="17.399999999999999">
      <c r="B504" s="207"/>
      <c r="C504" s="208"/>
      <c r="D504" s="205"/>
      <c r="E504" s="204"/>
    </row>
    <row r="505" spans="2:5" ht="17.399999999999999">
      <c r="B505" s="207"/>
      <c r="C505" s="208"/>
      <c r="D505" s="205"/>
      <c r="E505" s="204"/>
    </row>
    <row r="506" spans="2:5" ht="17.399999999999999">
      <c r="B506" s="207"/>
      <c r="C506" s="208"/>
      <c r="D506" s="205"/>
      <c r="E506" s="204"/>
    </row>
    <row r="507" spans="2:5" ht="17.399999999999999">
      <c r="B507" s="207"/>
      <c r="C507" s="208"/>
      <c r="D507" s="205"/>
      <c r="E507" s="204"/>
    </row>
    <row r="508" spans="2:5" ht="17.399999999999999">
      <c r="B508" s="207"/>
      <c r="C508" s="208"/>
      <c r="D508" s="205"/>
      <c r="E508" s="204"/>
    </row>
    <row r="509" spans="2:5" ht="17.399999999999999">
      <c r="B509" s="207"/>
      <c r="C509" s="208"/>
      <c r="D509" s="205"/>
      <c r="E509" s="204"/>
    </row>
    <row r="510" spans="2:5" ht="17.399999999999999">
      <c r="B510" s="207"/>
      <c r="C510" s="208"/>
      <c r="D510" s="205"/>
      <c r="E510" s="204"/>
    </row>
    <row r="511" spans="2:5" ht="17.399999999999999">
      <c r="B511" s="207"/>
      <c r="C511" s="208"/>
      <c r="D511" s="205"/>
      <c r="E511" s="204"/>
    </row>
    <row r="512" spans="2:5" ht="17.399999999999999">
      <c r="B512" s="207"/>
      <c r="C512" s="208"/>
      <c r="D512" s="205"/>
      <c r="E512" s="204"/>
    </row>
    <row r="513" spans="2:5" ht="17.399999999999999">
      <c r="B513" s="207"/>
      <c r="C513" s="208"/>
      <c r="D513" s="205"/>
      <c r="E513" s="204"/>
    </row>
    <row r="514" spans="2:5" ht="17.399999999999999">
      <c r="B514" s="207"/>
      <c r="C514" s="208"/>
      <c r="D514" s="205"/>
      <c r="E514" s="204"/>
    </row>
    <row r="515" spans="2:5" ht="17.399999999999999">
      <c r="B515" s="207"/>
      <c r="C515" s="208"/>
      <c r="D515" s="205"/>
      <c r="E515" s="204"/>
    </row>
    <row r="516" spans="2:5" ht="17.399999999999999">
      <c r="B516" s="207"/>
      <c r="C516" s="208"/>
      <c r="D516" s="205"/>
      <c r="E516" s="204"/>
    </row>
    <row r="517" spans="2:5" ht="17.399999999999999">
      <c r="B517" s="207"/>
      <c r="C517" s="208"/>
      <c r="D517" s="205"/>
      <c r="E517" s="204"/>
    </row>
    <row r="518" spans="2:5" ht="17.399999999999999">
      <c r="B518" s="207"/>
      <c r="C518" s="208"/>
      <c r="D518" s="205"/>
      <c r="E518" s="204"/>
    </row>
    <row r="519" spans="2:5" ht="17.399999999999999">
      <c r="B519" s="207"/>
      <c r="C519" s="208"/>
      <c r="D519" s="205"/>
      <c r="E519" s="204"/>
    </row>
    <row r="520" spans="2:5" ht="17.399999999999999">
      <c r="B520" s="207"/>
      <c r="C520" s="208"/>
      <c r="D520" s="205"/>
      <c r="E520" s="204"/>
    </row>
    <row r="521" spans="2:5" ht="17.399999999999999">
      <c r="B521" s="207"/>
      <c r="C521" s="208"/>
      <c r="D521" s="205"/>
      <c r="E521" s="204"/>
    </row>
    <row r="522" spans="2:5" ht="17.399999999999999">
      <c r="B522" s="207"/>
      <c r="C522" s="208"/>
      <c r="D522" s="205"/>
      <c r="E522" s="204"/>
    </row>
    <row r="523" spans="2:5" ht="17.399999999999999">
      <c r="B523" s="207"/>
      <c r="C523" s="208"/>
      <c r="D523" s="205"/>
      <c r="E523" s="204"/>
    </row>
    <row r="524" spans="2:5" ht="17.399999999999999">
      <c r="B524" s="207"/>
      <c r="C524" s="208"/>
      <c r="D524" s="205"/>
      <c r="E524" s="204"/>
    </row>
    <row r="525" spans="2:5" ht="17.399999999999999">
      <c r="B525" s="207"/>
      <c r="C525" s="208"/>
      <c r="D525" s="205"/>
      <c r="E525" s="204"/>
    </row>
    <row r="526" spans="2:5" ht="17.399999999999999">
      <c r="B526" s="207"/>
      <c r="C526" s="208"/>
      <c r="D526" s="205"/>
      <c r="E526" s="204"/>
    </row>
    <row r="527" spans="2:5" ht="17.399999999999999">
      <c r="B527" s="207"/>
      <c r="C527" s="208"/>
      <c r="D527" s="205"/>
      <c r="E527" s="204"/>
    </row>
    <row r="528" spans="2:5" ht="17.399999999999999">
      <c r="B528" s="207"/>
      <c r="C528" s="208"/>
      <c r="D528" s="205"/>
      <c r="E528" s="204"/>
    </row>
    <row r="529" spans="2:5" ht="17.399999999999999">
      <c r="B529" s="207"/>
      <c r="C529" s="208"/>
      <c r="D529" s="205"/>
      <c r="E529" s="204"/>
    </row>
    <row r="530" spans="2:5" ht="17.399999999999999">
      <c r="B530" s="207"/>
      <c r="C530" s="208"/>
      <c r="D530" s="205"/>
      <c r="E530" s="204"/>
    </row>
    <row r="531" spans="2:5" ht="17.399999999999999">
      <c r="B531" s="207"/>
      <c r="C531" s="208"/>
      <c r="D531" s="205"/>
      <c r="E531" s="204"/>
    </row>
    <row r="532" spans="2:5" ht="17.399999999999999">
      <c r="B532" s="207"/>
      <c r="C532" s="208"/>
      <c r="D532" s="205"/>
      <c r="E532" s="204"/>
    </row>
    <row r="533" spans="2:5" ht="17.399999999999999">
      <c r="B533" s="207"/>
      <c r="C533" s="208"/>
      <c r="D533" s="205"/>
      <c r="E533" s="204"/>
    </row>
    <row r="534" spans="2:5" ht="17.399999999999999">
      <c r="B534" s="207"/>
      <c r="C534" s="208"/>
      <c r="D534" s="205"/>
      <c r="E534" s="204"/>
    </row>
    <row r="535" spans="2:5" ht="17.399999999999999">
      <c r="B535" s="207"/>
      <c r="C535" s="208"/>
      <c r="D535" s="205"/>
      <c r="E535" s="204"/>
    </row>
    <row r="536" spans="2:5" ht="17.399999999999999">
      <c r="B536" s="207"/>
      <c r="C536" s="208"/>
      <c r="D536" s="205"/>
      <c r="E536" s="204"/>
    </row>
    <row r="537" spans="2:5" ht="17.399999999999999">
      <c r="B537" s="207"/>
      <c r="C537" s="208"/>
      <c r="D537" s="205"/>
      <c r="E537" s="204"/>
    </row>
    <row r="538" spans="2:5" ht="17.399999999999999">
      <c r="B538" s="207"/>
      <c r="C538" s="208"/>
      <c r="D538" s="205"/>
      <c r="E538" s="204"/>
    </row>
    <row r="539" spans="2:5" ht="17.399999999999999">
      <c r="B539" s="207"/>
      <c r="C539" s="208"/>
      <c r="D539" s="205"/>
      <c r="E539" s="204"/>
    </row>
    <row r="540" spans="2:5" ht="17.399999999999999">
      <c r="B540" s="207"/>
      <c r="C540" s="208"/>
      <c r="D540" s="205"/>
      <c r="E540" s="204"/>
    </row>
    <row r="541" spans="2:5" ht="17.399999999999999">
      <c r="B541" s="207"/>
      <c r="C541" s="208"/>
      <c r="D541" s="205"/>
      <c r="E541" s="204"/>
    </row>
    <row r="542" spans="2:5" ht="17.399999999999999">
      <c r="B542" s="207"/>
      <c r="C542" s="208"/>
      <c r="D542" s="205"/>
      <c r="E542" s="204"/>
    </row>
    <row r="543" spans="2:5" ht="17.399999999999999">
      <c r="B543" s="207"/>
      <c r="C543" s="208"/>
      <c r="D543" s="205"/>
      <c r="E543" s="204"/>
    </row>
    <row r="544" spans="2:5" ht="17.399999999999999">
      <c r="B544" s="207"/>
      <c r="C544" s="208"/>
      <c r="D544" s="205"/>
      <c r="E544" s="204"/>
    </row>
    <row r="545" spans="2:5" ht="17.399999999999999">
      <c r="B545" s="207"/>
      <c r="C545" s="208"/>
      <c r="D545" s="205"/>
      <c r="E545" s="204"/>
    </row>
    <row r="546" spans="2:5" ht="17.399999999999999">
      <c r="B546" s="207"/>
      <c r="C546" s="208"/>
      <c r="D546" s="205"/>
      <c r="E546" s="204"/>
    </row>
    <row r="547" spans="2:5" ht="17.399999999999999">
      <c r="B547" s="207"/>
      <c r="C547" s="208"/>
      <c r="D547" s="205"/>
      <c r="E547" s="204"/>
    </row>
    <row r="548" spans="2:5" ht="17.399999999999999">
      <c r="B548" s="207"/>
      <c r="C548" s="208"/>
      <c r="D548" s="205"/>
      <c r="E548" s="204"/>
    </row>
    <row r="549" spans="2:5" ht="17.399999999999999">
      <c r="B549" s="207"/>
      <c r="C549" s="208"/>
      <c r="D549" s="205"/>
      <c r="E549" s="204"/>
    </row>
    <row r="550" spans="2:5" ht="17.399999999999999">
      <c r="B550" s="207"/>
      <c r="C550" s="208"/>
      <c r="D550" s="205"/>
      <c r="E550" s="204"/>
    </row>
    <row r="551" spans="2:5" ht="17.399999999999999">
      <c r="B551" s="207"/>
      <c r="C551" s="208"/>
      <c r="D551" s="205"/>
      <c r="E551" s="204"/>
    </row>
    <row r="552" spans="2:5" ht="17.399999999999999">
      <c r="B552" s="207"/>
      <c r="C552" s="208"/>
      <c r="D552" s="205"/>
      <c r="E552" s="204"/>
    </row>
    <row r="553" spans="2:5" ht="17.399999999999999">
      <c r="B553" s="207"/>
      <c r="C553" s="208"/>
      <c r="D553" s="205"/>
      <c r="E553" s="204"/>
    </row>
    <row r="554" spans="2:5" ht="17.399999999999999">
      <c r="B554" s="207"/>
      <c r="C554" s="208"/>
      <c r="D554" s="205"/>
      <c r="E554" s="204"/>
    </row>
    <row r="555" spans="2:5" ht="17.399999999999999">
      <c r="B555" s="207"/>
      <c r="C555" s="208"/>
      <c r="D555" s="205"/>
      <c r="E555" s="204"/>
    </row>
    <row r="556" spans="2:5" ht="17.399999999999999">
      <c r="B556" s="207"/>
      <c r="C556" s="208"/>
      <c r="D556" s="205"/>
      <c r="E556" s="204"/>
    </row>
    <row r="557" spans="2:5" ht="17.399999999999999">
      <c r="B557" s="207"/>
      <c r="C557" s="208"/>
      <c r="D557" s="205"/>
      <c r="E557" s="204"/>
    </row>
    <row r="558" spans="2:5" ht="17.399999999999999">
      <c r="B558" s="207"/>
      <c r="C558" s="208"/>
      <c r="D558" s="205"/>
      <c r="E558" s="204"/>
    </row>
    <row r="559" spans="2:5" ht="17.399999999999999">
      <c r="B559" s="207"/>
      <c r="C559" s="208"/>
      <c r="D559" s="205"/>
      <c r="E559" s="204"/>
    </row>
    <row r="560" spans="2:5" ht="17.399999999999999">
      <c r="B560" s="207"/>
      <c r="C560" s="208"/>
      <c r="D560" s="205"/>
      <c r="E560" s="204"/>
    </row>
    <row r="561" spans="2:5" ht="17.399999999999999">
      <c r="B561" s="207"/>
      <c r="C561" s="208"/>
      <c r="D561" s="205"/>
      <c r="E561" s="204"/>
    </row>
    <row r="562" spans="2:5" ht="17.399999999999999">
      <c r="B562" s="207"/>
      <c r="C562" s="208"/>
      <c r="D562" s="205"/>
      <c r="E562" s="204"/>
    </row>
    <row r="563" spans="2:5" ht="17.399999999999999">
      <c r="B563" s="207"/>
      <c r="C563" s="208"/>
      <c r="D563" s="205"/>
      <c r="E563" s="204"/>
    </row>
    <row r="564" spans="2:5" ht="17.399999999999999">
      <c r="B564" s="207"/>
      <c r="C564" s="208"/>
      <c r="D564" s="205"/>
      <c r="E564" s="204"/>
    </row>
    <row r="565" spans="2:5" ht="17.399999999999999">
      <c r="B565" s="207"/>
      <c r="C565" s="208"/>
      <c r="D565" s="205"/>
      <c r="E565" s="204"/>
    </row>
    <row r="566" spans="2:5" ht="17.399999999999999">
      <c r="B566" s="207"/>
      <c r="C566" s="208"/>
      <c r="D566" s="205"/>
      <c r="E566" s="204"/>
    </row>
    <row r="567" spans="2:5" ht="17.399999999999999">
      <c r="B567" s="207"/>
      <c r="C567" s="208"/>
      <c r="D567" s="205"/>
      <c r="E567" s="204"/>
    </row>
    <row r="568" spans="2:5" ht="17.399999999999999">
      <c r="B568" s="207"/>
      <c r="C568" s="208"/>
      <c r="D568" s="205"/>
      <c r="E568" s="204"/>
    </row>
    <row r="569" spans="2:5" ht="17.399999999999999">
      <c r="B569" s="207"/>
      <c r="C569" s="208"/>
      <c r="D569" s="205"/>
      <c r="E569" s="204"/>
    </row>
    <row r="570" spans="2:5" ht="17.399999999999999">
      <c r="B570" s="207"/>
      <c r="C570" s="208"/>
      <c r="D570" s="205"/>
      <c r="E570" s="204"/>
    </row>
    <row r="571" spans="2:5" ht="17.399999999999999">
      <c r="B571" s="207"/>
      <c r="C571" s="208"/>
      <c r="D571" s="205"/>
      <c r="E571" s="204"/>
    </row>
    <row r="572" spans="2:5" ht="17.399999999999999">
      <c r="B572" s="207"/>
      <c r="C572" s="208"/>
      <c r="D572" s="205"/>
      <c r="E572" s="204"/>
    </row>
    <row r="573" spans="2:5" ht="17.399999999999999">
      <c r="B573" s="207"/>
      <c r="C573" s="208"/>
      <c r="D573" s="205"/>
      <c r="E573" s="204"/>
    </row>
    <row r="574" spans="2:5" ht="17.399999999999999">
      <c r="B574" s="207"/>
      <c r="C574" s="208"/>
      <c r="D574" s="205"/>
      <c r="E574" s="204"/>
    </row>
    <row r="575" spans="2:5" ht="17.399999999999999">
      <c r="B575" s="207"/>
      <c r="C575" s="208"/>
      <c r="D575" s="205"/>
      <c r="E575" s="204"/>
    </row>
    <row r="576" spans="2:5" ht="17.399999999999999">
      <c r="B576" s="207"/>
      <c r="C576" s="208"/>
      <c r="D576" s="205"/>
      <c r="E576" s="204"/>
    </row>
    <row r="577" spans="2:5" ht="17.399999999999999">
      <c r="B577" s="207"/>
      <c r="C577" s="208"/>
      <c r="D577" s="205"/>
      <c r="E577" s="204"/>
    </row>
    <row r="578" spans="2:5" ht="17.399999999999999">
      <c r="B578" s="207"/>
      <c r="C578" s="208"/>
      <c r="D578" s="205"/>
      <c r="E578" s="204"/>
    </row>
    <row r="579" spans="2:5" ht="17.399999999999999">
      <c r="B579" s="207"/>
      <c r="C579" s="208"/>
      <c r="D579" s="205"/>
      <c r="E579" s="204"/>
    </row>
    <row r="580" spans="2:5" ht="17.399999999999999">
      <c r="B580" s="207"/>
      <c r="C580" s="208"/>
      <c r="D580" s="205"/>
      <c r="E580" s="204"/>
    </row>
    <row r="581" spans="2:5" ht="17.399999999999999">
      <c r="B581" s="207"/>
      <c r="C581" s="208"/>
      <c r="D581" s="205"/>
      <c r="E581" s="204"/>
    </row>
    <row r="582" spans="2:5" ht="17.399999999999999">
      <c r="B582" s="207"/>
      <c r="C582" s="208"/>
      <c r="D582" s="205"/>
      <c r="E582" s="204"/>
    </row>
    <row r="583" spans="2:5" ht="17.399999999999999">
      <c r="B583" s="207"/>
      <c r="C583" s="208"/>
      <c r="D583" s="205"/>
      <c r="E583" s="204"/>
    </row>
    <row r="584" spans="2:5" ht="17.399999999999999">
      <c r="B584" s="207"/>
      <c r="C584" s="208"/>
      <c r="D584" s="205"/>
      <c r="E584" s="204"/>
    </row>
    <row r="585" spans="2:5" ht="17.399999999999999">
      <c r="B585" s="207"/>
      <c r="C585" s="208"/>
      <c r="D585" s="205"/>
      <c r="E585" s="204"/>
    </row>
    <row r="586" spans="2:5" ht="17.399999999999999">
      <c r="B586" s="207"/>
      <c r="C586" s="208"/>
      <c r="D586" s="205"/>
      <c r="E586" s="204"/>
    </row>
    <row r="587" spans="2:5" ht="17.399999999999999">
      <c r="B587" s="207"/>
      <c r="C587" s="208"/>
      <c r="D587" s="205"/>
      <c r="E587" s="204"/>
    </row>
    <row r="588" spans="2:5" ht="17.399999999999999">
      <c r="B588" s="207"/>
      <c r="C588" s="208"/>
      <c r="D588" s="205"/>
      <c r="E588" s="204"/>
    </row>
    <row r="589" spans="2:5" ht="17.399999999999999">
      <c r="B589" s="207"/>
      <c r="C589" s="208"/>
      <c r="D589" s="205"/>
      <c r="E589" s="204"/>
    </row>
    <row r="590" spans="2:5" ht="17.399999999999999">
      <c r="B590" s="207"/>
      <c r="C590" s="208"/>
      <c r="D590" s="205"/>
      <c r="E590" s="204"/>
    </row>
    <row r="591" spans="2:5" ht="17.399999999999999">
      <c r="B591" s="207"/>
      <c r="C591" s="208"/>
      <c r="D591" s="205"/>
      <c r="E591" s="204"/>
    </row>
    <row r="592" spans="2:5" ht="17.399999999999999">
      <c r="B592" s="207"/>
      <c r="C592" s="208"/>
      <c r="D592" s="205"/>
      <c r="E592" s="204"/>
    </row>
    <row r="593" spans="2:5" ht="17.399999999999999">
      <c r="B593" s="207"/>
      <c r="C593" s="208"/>
      <c r="D593" s="205"/>
      <c r="E593" s="204"/>
    </row>
    <row r="594" spans="2:5" ht="17.399999999999999">
      <c r="B594" s="207"/>
      <c r="C594" s="208"/>
      <c r="D594" s="205"/>
      <c r="E594" s="204"/>
    </row>
    <row r="595" spans="2:5" ht="17.399999999999999">
      <c r="B595" s="207"/>
      <c r="C595" s="208"/>
      <c r="D595" s="205"/>
      <c r="E595" s="204"/>
    </row>
    <row r="596" spans="2:5" ht="17.399999999999999">
      <c r="B596" s="207"/>
      <c r="C596" s="208"/>
      <c r="D596" s="205"/>
      <c r="E596" s="204"/>
    </row>
    <row r="597" spans="2:5" ht="17.399999999999999">
      <c r="B597" s="207"/>
      <c r="C597" s="208"/>
      <c r="D597" s="205"/>
      <c r="E597" s="204"/>
    </row>
    <row r="598" spans="2:5" ht="17.399999999999999">
      <c r="B598" s="207"/>
      <c r="C598" s="208"/>
      <c r="D598" s="205"/>
      <c r="E598" s="204"/>
    </row>
    <row r="599" spans="2:5" ht="17.399999999999999">
      <c r="B599" s="207"/>
      <c r="C599" s="208"/>
      <c r="D599" s="205"/>
      <c r="E599" s="204"/>
    </row>
    <row r="600" spans="2:5" ht="17.399999999999999">
      <c r="B600" s="207"/>
      <c r="C600" s="208"/>
      <c r="D600" s="205"/>
      <c r="E600" s="204"/>
    </row>
    <row r="601" spans="2:5" ht="17.399999999999999">
      <c r="B601" s="207"/>
      <c r="C601" s="208"/>
      <c r="D601" s="205"/>
      <c r="E601" s="204"/>
    </row>
    <row r="602" spans="2:5" ht="17.399999999999999">
      <c r="B602" s="207"/>
      <c r="C602" s="208"/>
      <c r="D602" s="205"/>
      <c r="E602" s="204"/>
    </row>
    <row r="603" spans="2:5" ht="17.399999999999999">
      <c r="B603" s="207"/>
      <c r="C603" s="208"/>
      <c r="D603" s="205"/>
      <c r="E603" s="204"/>
    </row>
    <row r="604" spans="2:5" ht="17.399999999999999">
      <c r="B604" s="207"/>
      <c r="C604" s="208"/>
      <c r="D604" s="205"/>
      <c r="E604" s="204"/>
    </row>
    <row r="605" spans="2:5" ht="17.399999999999999">
      <c r="B605" s="207"/>
      <c r="C605" s="208"/>
      <c r="D605" s="205"/>
      <c r="E605" s="204"/>
    </row>
    <row r="606" spans="2:5" ht="17.399999999999999">
      <c r="B606" s="207"/>
      <c r="C606" s="208"/>
      <c r="D606" s="205"/>
      <c r="E606" s="204"/>
    </row>
    <row r="607" spans="2:5" ht="17.399999999999999">
      <c r="B607" s="207"/>
      <c r="C607" s="208"/>
      <c r="D607" s="205"/>
      <c r="E607" s="204"/>
    </row>
    <row r="608" spans="2:5" ht="17.399999999999999">
      <c r="B608" s="207"/>
      <c r="C608" s="208"/>
      <c r="D608" s="205"/>
      <c r="E608" s="204"/>
    </row>
    <row r="609" spans="2:5" ht="17.399999999999999">
      <c r="B609" s="207"/>
      <c r="C609" s="208"/>
      <c r="D609" s="205"/>
      <c r="E609" s="204"/>
    </row>
    <row r="610" spans="2:5" ht="17.399999999999999">
      <c r="B610" s="207"/>
      <c r="C610" s="208"/>
      <c r="D610" s="205"/>
      <c r="E610" s="204"/>
    </row>
    <row r="611" spans="2:5" ht="17.399999999999999">
      <c r="B611" s="207"/>
      <c r="C611" s="208"/>
      <c r="D611" s="205"/>
      <c r="E611" s="204"/>
    </row>
    <row r="612" spans="2:5" ht="17.399999999999999">
      <c r="B612" s="207"/>
      <c r="C612" s="208"/>
      <c r="D612" s="205"/>
      <c r="E612" s="204"/>
    </row>
    <row r="613" spans="2:5" ht="17.399999999999999">
      <c r="B613" s="207"/>
      <c r="C613" s="208"/>
      <c r="D613" s="205"/>
      <c r="E613" s="204"/>
    </row>
    <row r="614" spans="2:5" ht="17.399999999999999">
      <c r="B614" s="207"/>
      <c r="C614" s="208"/>
      <c r="D614" s="205"/>
      <c r="E614" s="204"/>
    </row>
    <row r="615" spans="2:5" ht="17.399999999999999">
      <c r="B615" s="207"/>
      <c r="C615" s="208"/>
      <c r="D615" s="205"/>
      <c r="E615" s="204"/>
    </row>
    <row r="616" spans="2:5" ht="17.399999999999999">
      <c r="B616" s="207"/>
      <c r="C616" s="208"/>
      <c r="D616" s="205"/>
      <c r="E616" s="204"/>
    </row>
    <row r="617" spans="2:5" ht="17.399999999999999">
      <c r="B617" s="207"/>
      <c r="C617" s="208"/>
      <c r="D617" s="205"/>
      <c r="E617" s="204"/>
    </row>
    <row r="618" spans="2:5" ht="17.399999999999999">
      <c r="B618" s="207"/>
      <c r="C618" s="208"/>
      <c r="D618" s="205"/>
      <c r="E618" s="204"/>
    </row>
    <row r="619" spans="2:5" ht="17.399999999999999">
      <c r="B619" s="207"/>
      <c r="C619" s="208"/>
      <c r="D619" s="205"/>
      <c r="E619" s="204"/>
    </row>
    <row r="620" spans="2:5" ht="17.399999999999999">
      <c r="B620" s="207"/>
      <c r="C620" s="208"/>
      <c r="D620" s="205"/>
      <c r="E620" s="204"/>
    </row>
    <row r="621" spans="2:5" ht="17.399999999999999">
      <c r="B621" s="207"/>
      <c r="C621" s="208"/>
      <c r="D621" s="205"/>
      <c r="E621" s="204"/>
    </row>
    <row r="622" spans="2:5" ht="17.399999999999999">
      <c r="B622" s="207"/>
      <c r="C622" s="208"/>
      <c r="D622" s="205"/>
      <c r="E622" s="204"/>
    </row>
    <row r="623" spans="2:5" ht="17.399999999999999">
      <c r="B623" s="207"/>
      <c r="C623" s="208"/>
      <c r="D623" s="205"/>
      <c r="E623" s="204"/>
    </row>
    <row r="624" spans="2:5" ht="17.399999999999999">
      <c r="B624" s="207"/>
      <c r="C624" s="208"/>
      <c r="D624" s="205"/>
      <c r="E624" s="204"/>
    </row>
    <row r="625" spans="2:5" ht="17.399999999999999">
      <c r="B625" s="207"/>
      <c r="C625" s="208"/>
      <c r="D625" s="205"/>
      <c r="E625" s="204"/>
    </row>
    <row r="626" spans="2:5" ht="17.399999999999999">
      <c r="B626" s="207"/>
      <c r="C626" s="208"/>
      <c r="D626" s="205"/>
      <c r="E626" s="204"/>
    </row>
    <row r="627" spans="2:5" ht="17.399999999999999">
      <c r="B627" s="207"/>
      <c r="C627" s="208"/>
      <c r="D627" s="205"/>
      <c r="E627" s="204"/>
    </row>
    <row r="628" spans="2:5" ht="17.399999999999999">
      <c r="B628" s="207"/>
      <c r="C628" s="208"/>
      <c r="D628" s="205"/>
      <c r="E628" s="204"/>
    </row>
    <row r="629" spans="2:5" ht="17.399999999999999">
      <c r="B629" s="207"/>
      <c r="C629" s="208"/>
      <c r="D629" s="205"/>
      <c r="E629" s="204"/>
    </row>
    <row r="630" spans="2:5" ht="17.399999999999999">
      <c r="B630" s="207"/>
      <c r="C630" s="208"/>
      <c r="D630" s="205"/>
      <c r="E630" s="204"/>
    </row>
    <row r="631" spans="2:5" ht="17.399999999999999">
      <c r="B631" s="207"/>
      <c r="C631" s="208"/>
      <c r="D631" s="205"/>
      <c r="E631" s="204"/>
    </row>
    <row r="632" spans="2:5" ht="17.399999999999999">
      <c r="B632" s="207"/>
      <c r="C632" s="208"/>
      <c r="D632" s="205"/>
      <c r="E632" s="204"/>
    </row>
    <row r="633" spans="2:5" ht="17.399999999999999">
      <c r="B633" s="207"/>
      <c r="C633" s="208"/>
      <c r="D633" s="205"/>
      <c r="E633" s="204"/>
    </row>
    <row r="634" spans="2:5" ht="17.399999999999999">
      <c r="B634" s="207"/>
      <c r="C634" s="208"/>
      <c r="D634" s="205"/>
      <c r="E634" s="204"/>
    </row>
    <row r="635" spans="2:5" ht="17.399999999999999">
      <c r="B635" s="207"/>
      <c r="C635" s="208"/>
      <c r="D635" s="205"/>
      <c r="E635" s="204"/>
    </row>
    <row r="636" spans="2:5" ht="17.399999999999999">
      <c r="B636" s="207"/>
      <c r="C636" s="208"/>
      <c r="D636" s="205"/>
      <c r="E636" s="204"/>
    </row>
    <row r="637" spans="2:5" ht="17.399999999999999">
      <c r="B637" s="207"/>
      <c r="C637" s="208"/>
      <c r="D637" s="205"/>
      <c r="E637" s="204"/>
    </row>
    <row r="638" spans="2:5" ht="17.399999999999999">
      <c r="B638" s="207"/>
      <c r="C638" s="208"/>
      <c r="D638" s="205"/>
      <c r="E638" s="204"/>
    </row>
    <row r="639" spans="2:5" ht="17.399999999999999">
      <c r="B639" s="207"/>
      <c r="C639" s="208"/>
      <c r="D639" s="205"/>
      <c r="E639" s="204"/>
    </row>
    <row r="640" spans="2:5" ht="17.399999999999999">
      <c r="B640" s="207"/>
      <c r="C640" s="208"/>
      <c r="D640" s="205"/>
      <c r="E640" s="204"/>
    </row>
    <row r="641" spans="2:5" ht="17.399999999999999">
      <c r="B641" s="207"/>
      <c r="C641" s="208"/>
      <c r="D641" s="205"/>
      <c r="E641" s="204"/>
    </row>
    <row r="642" spans="2:5" ht="17.399999999999999">
      <c r="B642" s="207"/>
      <c r="C642" s="208"/>
      <c r="D642" s="205"/>
      <c r="E642" s="204"/>
    </row>
    <row r="643" spans="2:5" ht="17.399999999999999">
      <c r="B643" s="207"/>
      <c r="C643" s="208"/>
      <c r="D643" s="205"/>
      <c r="E643" s="204"/>
    </row>
    <row r="644" spans="2:5" ht="17.399999999999999">
      <c r="B644" s="207"/>
      <c r="C644" s="208"/>
      <c r="D644" s="205"/>
      <c r="E644" s="204"/>
    </row>
    <row r="645" spans="2:5" ht="17.399999999999999">
      <c r="B645" s="207"/>
      <c r="C645" s="208"/>
      <c r="D645" s="205"/>
      <c r="E645" s="204"/>
    </row>
    <row r="646" spans="2:5" ht="17.399999999999999">
      <c r="B646" s="207"/>
      <c r="C646" s="208"/>
      <c r="D646" s="205"/>
      <c r="E646" s="204"/>
    </row>
    <row r="647" spans="2:5" ht="17.399999999999999">
      <c r="B647" s="207"/>
      <c r="C647" s="208"/>
      <c r="D647" s="205"/>
      <c r="E647" s="204"/>
    </row>
    <row r="648" spans="2:5" ht="17.399999999999999">
      <c r="B648" s="207"/>
      <c r="C648" s="208"/>
      <c r="D648" s="205"/>
      <c r="E648" s="204"/>
    </row>
    <row r="649" spans="2:5" ht="17.399999999999999">
      <c r="B649" s="207"/>
      <c r="C649" s="208"/>
      <c r="D649" s="205"/>
      <c r="E649" s="204"/>
    </row>
    <row r="650" spans="2:5" ht="17.399999999999999">
      <c r="B650" s="207"/>
      <c r="C650" s="208"/>
      <c r="D650" s="205"/>
      <c r="E650" s="204"/>
    </row>
    <row r="651" spans="2:5" ht="17.399999999999999">
      <c r="B651" s="207"/>
      <c r="C651" s="208"/>
      <c r="D651" s="205"/>
      <c r="E651" s="204"/>
    </row>
    <row r="652" spans="2:5" ht="17.399999999999999">
      <c r="B652" s="207"/>
      <c r="C652" s="208"/>
      <c r="D652" s="205"/>
      <c r="E652" s="204"/>
    </row>
    <row r="653" spans="2:5" ht="17.399999999999999">
      <c r="B653" s="207"/>
      <c r="C653" s="208"/>
      <c r="D653" s="205"/>
      <c r="E653" s="204"/>
    </row>
    <row r="654" spans="2:5" ht="17.399999999999999">
      <c r="B654" s="207"/>
      <c r="C654" s="208"/>
      <c r="D654" s="205"/>
      <c r="E654" s="204"/>
    </row>
    <row r="655" spans="2:5" ht="17.399999999999999">
      <c r="B655" s="207"/>
      <c r="C655" s="208"/>
      <c r="D655" s="205"/>
      <c r="E655" s="204"/>
    </row>
    <row r="656" spans="2:5" ht="17.399999999999999">
      <c r="B656" s="207"/>
      <c r="C656" s="208"/>
      <c r="D656" s="205"/>
      <c r="E656" s="204"/>
    </row>
    <row r="657" spans="2:5" ht="17.399999999999999">
      <c r="B657" s="207"/>
      <c r="C657" s="208"/>
      <c r="D657" s="205"/>
      <c r="E657" s="204"/>
    </row>
    <row r="658" spans="2:5" ht="17.399999999999999">
      <c r="B658" s="207"/>
      <c r="C658" s="208"/>
      <c r="D658" s="205"/>
      <c r="E658" s="204"/>
    </row>
    <row r="659" spans="2:5" ht="17.399999999999999">
      <c r="B659" s="207"/>
      <c r="C659" s="208"/>
      <c r="D659" s="205"/>
      <c r="E659" s="204"/>
    </row>
    <row r="660" spans="2:5" ht="17.399999999999999">
      <c r="B660" s="207"/>
      <c r="C660" s="208"/>
      <c r="D660" s="205"/>
      <c r="E660" s="204"/>
    </row>
    <row r="661" spans="2:5" ht="17.399999999999999">
      <c r="B661" s="207"/>
      <c r="C661" s="208"/>
      <c r="D661" s="205"/>
      <c r="E661" s="204"/>
    </row>
    <row r="662" spans="2:5" ht="17.399999999999999">
      <c r="B662" s="207"/>
      <c r="C662" s="208"/>
      <c r="D662" s="205"/>
      <c r="E662" s="204"/>
    </row>
    <row r="663" spans="2:5" ht="17.399999999999999">
      <c r="B663" s="207"/>
      <c r="C663" s="208"/>
      <c r="D663" s="205"/>
      <c r="E663" s="204"/>
    </row>
    <row r="664" spans="2:5" ht="17.399999999999999">
      <c r="B664" s="207"/>
      <c r="C664" s="208"/>
      <c r="D664" s="205"/>
      <c r="E664" s="204"/>
    </row>
    <row r="665" spans="2:5" ht="17.399999999999999">
      <c r="B665" s="207"/>
      <c r="C665" s="208"/>
      <c r="D665" s="205"/>
      <c r="E665" s="204"/>
    </row>
    <row r="666" spans="2:5" ht="17.399999999999999">
      <c r="B666" s="207"/>
      <c r="C666" s="208"/>
      <c r="D666" s="205"/>
      <c r="E666" s="204"/>
    </row>
    <row r="667" spans="2:5" ht="17.399999999999999">
      <c r="B667" s="207"/>
      <c r="C667" s="208"/>
      <c r="D667" s="205"/>
      <c r="E667" s="204"/>
    </row>
    <row r="668" spans="2:5" ht="17.399999999999999">
      <c r="B668" s="207"/>
      <c r="C668" s="208"/>
      <c r="D668" s="205"/>
      <c r="E668" s="204"/>
    </row>
    <row r="669" spans="2:5" ht="17.399999999999999">
      <c r="B669" s="207"/>
      <c r="C669" s="208"/>
      <c r="D669" s="205"/>
      <c r="E669" s="204"/>
    </row>
    <row r="670" spans="2:5" ht="17.399999999999999">
      <c r="B670" s="207"/>
      <c r="C670" s="208"/>
      <c r="D670" s="205"/>
      <c r="E670" s="204"/>
    </row>
    <row r="671" spans="2:5" ht="17.399999999999999">
      <c r="B671" s="207"/>
      <c r="C671" s="208"/>
      <c r="D671" s="205"/>
      <c r="E671" s="204"/>
    </row>
    <row r="672" spans="2:5" ht="17.399999999999999">
      <c r="B672" s="207"/>
      <c r="C672" s="208"/>
      <c r="D672" s="205"/>
      <c r="E672" s="204"/>
    </row>
    <row r="673" spans="2:5" ht="17.399999999999999">
      <c r="B673" s="207"/>
      <c r="C673" s="208"/>
      <c r="D673" s="205"/>
      <c r="E673" s="204"/>
    </row>
    <row r="674" spans="2:5" ht="17.399999999999999">
      <c r="B674" s="207"/>
      <c r="C674" s="208"/>
      <c r="D674" s="205"/>
      <c r="E674" s="204"/>
    </row>
    <row r="675" spans="2:5" ht="17.399999999999999">
      <c r="B675" s="207"/>
      <c r="C675" s="208"/>
      <c r="D675" s="205"/>
      <c r="E675" s="204"/>
    </row>
    <row r="676" spans="2:5" ht="17.399999999999999">
      <c r="B676" s="207"/>
      <c r="C676" s="208"/>
      <c r="D676" s="205"/>
      <c r="E676" s="204"/>
    </row>
    <row r="677" spans="2:5" ht="17.399999999999999">
      <c r="B677" s="207"/>
      <c r="C677" s="208"/>
      <c r="D677" s="205"/>
      <c r="E677" s="204"/>
    </row>
    <row r="678" spans="2:5" ht="17.399999999999999">
      <c r="B678" s="207"/>
      <c r="C678" s="208"/>
      <c r="D678" s="205"/>
      <c r="E678" s="204"/>
    </row>
    <row r="679" spans="2:5" ht="17.399999999999999">
      <c r="B679" s="207"/>
      <c r="C679" s="208"/>
      <c r="D679" s="205"/>
      <c r="E679" s="204"/>
    </row>
    <row r="680" spans="2:5" ht="17.399999999999999">
      <c r="B680" s="207"/>
      <c r="C680" s="208"/>
      <c r="D680" s="205"/>
      <c r="E680" s="204"/>
    </row>
    <row r="681" spans="2:5" ht="17.399999999999999">
      <c r="B681" s="207"/>
      <c r="C681" s="208"/>
      <c r="D681" s="205"/>
      <c r="E681" s="204"/>
    </row>
    <row r="682" spans="2:5" ht="17.399999999999999">
      <c r="B682" s="207"/>
      <c r="C682" s="208"/>
      <c r="D682" s="205"/>
      <c r="E682" s="204"/>
    </row>
    <row r="683" spans="2:5" ht="17.399999999999999">
      <c r="B683" s="207"/>
      <c r="C683" s="208"/>
      <c r="D683" s="205"/>
      <c r="E683" s="204"/>
    </row>
    <row r="684" spans="2:5" ht="17.399999999999999">
      <c r="B684" s="207"/>
      <c r="C684" s="208"/>
      <c r="D684" s="205"/>
      <c r="E684" s="204"/>
    </row>
    <row r="685" spans="2:5" ht="17.399999999999999">
      <c r="B685" s="207"/>
      <c r="C685" s="208"/>
      <c r="D685" s="205"/>
      <c r="E685" s="204"/>
    </row>
    <row r="686" spans="2:5" ht="17.399999999999999">
      <c r="B686" s="207"/>
      <c r="C686" s="208"/>
      <c r="D686" s="205"/>
      <c r="E686" s="204"/>
    </row>
    <row r="687" spans="2:5" ht="17.399999999999999">
      <c r="B687" s="207"/>
      <c r="C687" s="208"/>
      <c r="D687" s="205"/>
      <c r="E687" s="204"/>
    </row>
    <row r="688" spans="2:5" ht="17.399999999999999">
      <c r="B688" s="207"/>
      <c r="C688" s="208"/>
      <c r="D688" s="205"/>
      <c r="E688" s="204"/>
    </row>
    <row r="689" spans="2:5" ht="17.399999999999999">
      <c r="B689" s="207"/>
      <c r="C689" s="208"/>
      <c r="D689" s="205"/>
      <c r="E689" s="204"/>
    </row>
    <row r="690" spans="2:5" ht="17.399999999999999">
      <c r="B690" s="207"/>
      <c r="C690" s="208"/>
      <c r="D690" s="205"/>
      <c r="E690" s="204"/>
    </row>
    <row r="691" spans="2:5" ht="17.399999999999999">
      <c r="B691" s="207"/>
      <c r="C691" s="208"/>
      <c r="D691" s="205"/>
      <c r="E691" s="204"/>
    </row>
    <row r="692" spans="2:5" ht="17.399999999999999">
      <c r="B692" s="207"/>
      <c r="C692" s="208"/>
      <c r="D692" s="205"/>
      <c r="E692" s="204"/>
    </row>
    <row r="693" spans="2:5" ht="17.399999999999999">
      <c r="B693" s="207"/>
      <c r="C693" s="208"/>
      <c r="D693" s="205"/>
      <c r="E693" s="204"/>
    </row>
    <row r="694" spans="2:5" ht="17.399999999999999">
      <c r="B694" s="207"/>
      <c r="C694" s="208"/>
      <c r="D694" s="205"/>
      <c r="E694" s="204"/>
    </row>
    <row r="695" spans="2:5" ht="17.399999999999999">
      <c r="B695" s="207"/>
      <c r="C695" s="208"/>
      <c r="D695" s="205"/>
      <c r="E695" s="204"/>
    </row>
    <row r="696" spans="2:5" ht="17.399999999999999">
      <c r="B696" s="207"/>
      <c r="C696" s="208"/>
      <c r="D696" s="205"/>
      <c r="E696" s="204"/>
    </row>
    <row r="697" spans="2:5" ht="17.399999999999999">
      <c r="B697" s="207"/>
      <c r="C697" s="208"/>
      <c r="D697" s="205"/>
      <c r="E697" s="204"/>
    </row>
    <row r="698" spans="2:5" ht="17.399999999999999">
      <c r="B698" s="207"/>
      <c r="C698" s="208"/>
      <c r="D698" s="205"/>
      <c r="E698" s="204"/>
    </row>
    <row r="699" spans="2:5" ht="17.399999999999999">
      <c r="B699" s="207"/>
      <c r="C699" s="208"/>
      <c r="D699" s="205"/>
      <c r="E699" s="204"/>
    </row>
    <row r="700" spans="2:5" ht="17.399999999999999">
      <c r="B700" s="207"/>
      <c r="C700" s="208"/>
      <c r="D700" s="205"/>
      <c r="E700" s="204"/>
    </row>
    <row r="701" spans="2:5" ht="17.399999999999999">
      <c r="B701" s="207"/>
      <c r="C701" s="208"/>
      <c r="D701" s="205"/>
      <c r="E701" s="204"/>
    </row>
    <row r="702" spans="2:5" ht="17.399999999999999">
      <c r="B702" s="207"/>
      <c r="C702" s="208"/>
      <c r="D702" s="205"/>
      <c r="E702" s="204"/>
    </row>
    <row r="703" spans="2:5" ht="17.399999999999999">
      <c r="B703" s="207"/>
      <c r="C703" s="208"/>
      <c r="D703" s="205"/>
      <c r="E703" s="204"/>
    </row>
    <row r="704" spans="2:5" ht="17.399999999999999">
      <c r="B704" s="207"/>
      <c r="C704" s="208"/>
      <c r="D704" s="205"/>
      <c r="E704" s="204"/>
    </row>
    <row r="705" spans="2:5" ht="17.399999999999999">
      <c r="B705" s="207"/>
      <c r="C705" s="208"/>
      <c r="D705" s="205"/>
      <c r="E705" s="204"/>
    </row>
    <row r="706" spans="2:5" ht="17.399999999999999">
      <c r="B706" s="207"/>
      <c r="C706" s="208"/>
      <c r="D706" s="205"/>
      <c r="E706" s="204"/>
    </row>
    <row r="707" spans="2:5" ht="17.399999999999999">
      <c r="B707" s="207"/>
      <c r="C707" s="208"/>
      <c r="D707" s="205"/>
      <c r="E707" s="204"/>
    </row>
    <row r="708" spans="2:5" ht="17.399999999999999">
      <c r="B708" s="207"/>
      <c r="C708" s="208"/>
      <c r="D708" s="205"/>
      <c r="E708" s="204"/>
    </row>
    <row r="709" spans="2:5" ht="17.399999999999999">
      <c r="B709" s="207"/>
      <c r="C709" s="208"/>
      <c r="D709" s="205"/>
      <c r="E709" s="204"/>
    </row>
    <row r="710" spans="2:5" ht="17.399999999999999">
      <c r="B710" s="207"/>
      <c r="C710" s="208"/>
      <c r="D710" s="205"/>
      <c r="E710" s="204"/>
    </row>
    <row r="711" spans="2:5" ht="17.399999999999999">
      <c r="B711" s="207"/>
      <c r="C711" s="208"/>
      <c r="D711" s="205"/>
      <c r="E711" s="204"/>
    </row>
    <row r="712" spans="2:5" ht="17.399999999999999">
      <c r="B712" s="207"/>
      <c r="C712" s="208"/>
      <c r="D712" s="205"/>
      <c r="E712" s="204"/>
    </row>
    <row r="713" spans="2:5" ht="17.399999999999999">
      <c r="B713" s="207"/>
      <c r="C713" s="208"/>
      <c r="D713" s="205"/>
      <c r="E713" s="204"/>
    </row>
    <row r="714" spans="2:5" ht="17.399999999999999">
      <c r="B714" s="207"/>
      <c r="C714" s="208"/>
      <c r="D714" s="205"/>
      <c r="E714" s="204"/>
    </row>
    <row r="715" spans="2:5" ht="17.399999999999999">
      <c r="B715" s="207"/>
      <c r="C715" s="208"/>
      <c r="D715" s="205"/>
      <c r="E715" s="204"/>
    </row>
    <row r="716" spans="2:5" ht="17.399999999999999">
      <c r="B716" s="207"/>
      <c r="C716" s="208"/>
      <c r="D716" s="205"/>
      <c r="E716" s="204"/>
    </row>
    <row r="717" spans="2:5" ht="17.399999999999999">
      <c r="B717" s="207"/>
      <c r="C717" s="208"/>
      <c r="D717" s="205"/>
      <c r="E717" s="204"/>
    </row>
    <row r="718" spans="2:5" ht="17.399999999999999">
      <c r="B718" s="207"/>
      <c r="C718" s="208"/>
      <c r="D718" s="205"/>
      <c r="E718" s="204"/>
    </row>
    <row r="719" spans="2:5" ht="17.399999999999999">
      <c r="B719" s="207"/>
      <c r="C719" s="208"/>
      <c r="D719" s="205"/>
      <c r="E719" s="204"/>
    </row>
    <row r="720" spans="2:5" ht="17.399999999999999">
      <c r="B720" s="207"/>
      <c r="C720" s="208"/>
      <c r="D720" s="205"/>
      <c r="E720" s="204"/>
    </row>
    <row r="721" spans="2:5" ht="17.399999999999999">
      <c r="B721" s="207"/>
      <c r="C721" s="208"/>
      <c r="D721" s="205"/>
      <c r="E721" s="204"/>
    </row>
    <row r="722" spans="2:5" ht="17.399999999999999">
      <c r="B722" s="207"/>
      <c r="C722" s="208"/>
      <c r="D722" s="205"/>
      <c r="E722" s="204"/>
    </row>
    <row r="723" spans="2:5" ht="17.399999999999999">
      <c r="B723" s="207"/>
      <c r="C723" s="208"/>
      <c r="D723" s="205"/>
      <c r="E723" s="204"/>
    </row>
    <row r="724" spans="2:5" ht="17.399999999999999">
      <c r="B724" s="207"/>
      <c r="C724" s="208"/>
      <c r="D724" s="205"/>
      <c r="E724" s="204"/>
    </row>
    <row r="725" spans="2:5" ht="17.399999999999999">
      <c r="B725" s="207"/>
      <c r="C725" s="208"/>
      <c r="D725" s="205"/>
      <c r="E725" s="204"/>
    </row>
    <row r="726" spans="2:5" ht="17.399999999999999">
      <c r="B726" s="207"/>
      <c r="C726" s="208"/>
      <c r="D726" s="205"/>
      <c r="E726" s="204"/>
    </row>
    <row r="727" spans="2:5" ht="17.399999999999999">
      <c r="B727" s="207"/>
      <c r="C727" s="208"/>
      <c r="D727" s="205"/>
      <c r="E727" s="204"/>
    </row>
    <row r="728" spans="2:5" ht="17.399999999999999">
      <c r="B728" s="207"/>
      <c r="C728" s="208"/>
      <c r="D728" s="205"/>
      <c r="E728" s="204"/>
    </row>
    <row r="729" spans="2:5" ht="17.399999999999999">
      <c r="B729" s="207"/>
      <c r="C729" s="208"/>
      <c r="D729" s="205"/>
      <c r="E729" s="204"/>
    </row>
    <row r="730" spans="2:5" ht="17.399999999999999">
      <c r="B730" s="207"/>
      <c r="C730" s="208"/>
      <c r="D730" s="205"/>
      <c r="E730" s="204"/>
    </row>
    <row r="731" spans="2:5" ht="17.399999999999999">
      <c r="B731" s="207"/>
      <c r="C731" s="208"/>
      <c r="D731" s="205"/>
      <c r="E731" s="204"/>
    </row>
    <row r="732" spans="2:5" ht="17.399999999999999">
      <c r="B732" s="207"/>
      <c r="C732" s="208"/>
      <c r="D732" s="205"/>
      <c r="E732" s="204"/>
    </row>
    <row r="733" spans="2:5" ht="17.399999999999999">
      <c r="B733" s="207"/>
      <c r="C733" s="208"/>
      <c r="D733" s="205"/>
      <c r="E733" s="204"/>
    </row>
    <row r="734" spans="2:5" ht="17.399999999999999">
      <c r="B734" s="207"/>
      <c r="C734" s="208"/>
      <c r="D734" s="205"/>
      <c r="E734" s="204"/>
    </row>
    <row r="735" spans="2:5" ht="17.399999999999999">
      <c r="B735" s="207"/>
      <c r="C735" s="208"/>
      <c r="D735" s="205"/>
      <c r="E735" s="204"/>
    </row>
    <row r="736" spans="2:5" ht="17.399999999999999">
      <c r="B736" s="207"/>
      <c r="C736" s="208"/>
      <c r="D736" s="205"/>
      <c r="E736" s="204"/>
    </row>
    <row r="737" spans="2:5" ht="17.399999999999999">
      <c r="B737" s="207"/>
      <c r="C737" s="208"/>
      <c r="D737" s="205"/>
      <c r="E737" s="204"/>
    </row>
    <row r="738" spans="2:5" ht="17.399999999999999">
      <c r="B738" s="207"/>
      <c r="C738" s="208"/>
      <c r="D738" s="205"/>
      <c r="E738" s="204"/>
    </row>
    <row r="739" spans="2:5" ht="17.399999999999999">
      <c r="B739" s="207"/>
      <c r="C739" s="208"/>
      <c r="D739" s="205"/>
      <c r="E739" s="204"/>
    </row>
    <row r="740" spans="2:5" ht="17.399999999999999">
      <c r="B740" s="207"/>
      <c r="C740" s="208"/>
      <c r="D740" s="205"/>
      <c r="E740" s="204"/>
    </row>
    <row r="741" spans="2:5" ht="17.399999999999999">
      <c r="B741" s="207"/>
      <c r="C741" s="208"/>
      <c r="D741" s="205"/>
      <c r="E741" s="204"/>
    </row>
    <row r="742" spans="2:5" ht="17.399999999999999">
      <c r="B742" s="207"/>
      <c r="C742" s="208"/>
      <c r="D742" s="205"/>
      <c r="E742" s="204"/>
    </row>
    <row r="743" spans="2:5" ht="17.399999999999999">
      <c r="B743" s="207"/>
      <c r="C743" s="208"/>
      <c r="D743" s="205"/>
      <c r="E743" s="204"/>
    </row>
    <row r="744" spans="2:5" ht="17.399999999999999">
      <c r="B744" s="207"/>
      <c r="C744" s="208"/>
      <c r="D744" s="205"/>
      <c r="E744" s="204"/>
    </row>
    <row r="745" spans="2:5" ht="17.399999999999999">
      <c r="B745" s="207"/>
      <c r="C745" s="208"/>
      <c r="D745" s="205"/>
      <c r="E745" s="204"/>
    </row>
    <row r="746" spans="2:5" ht="17.399999999999999">
      <c r="B746" s="207"/>
      <c r="C746" s="208"/>
      <c r="D746" s="205"/>
      <c r="E746" s="204"/>
    </row>
    <row r="747" spans="2:5" ht="17.399999999999999">
      <c r="B747" s="207"/>
      <c r="C747" s="208"/>
      <c r="D747" s="205"/>
      <c r="E747" s="204"/>
    </row>
    <row r="748" spans="2:5" ht="17.399999999999999">
      <c r="B748" s="207"/>
      <c r="C748" s="208"/>
      <c r="D748" s="205"/>
      <c r="E748" s="204"/>
    </row>
    <row r="749" spans="2:5" ht="17.399999999999999">
      <c r="B749" s="207"/>
      <c r="C749" s="208"/>
      <c r="D749" s="205"/>
      <c r="E749" s="204"/>
    </row>
    <row r="750" spans="2:5" ht="17.399999999999999">
      <c r="B750" s="207"/>
      <c r="C750" s="208"/>
      <c r="D750" s="205"/>
      <c r="E750" s="204"/>
    </row>
    <row r="751" spans="2:5" ht="17.399999999999999">
      <c r="B751" s="207"/>
      <c r="C751" s="208"/>
      <c r="D751" s="205"/>
      <c r="E751" s="204"/>
    </row>
    <row r="752" spans="2:5" ht="17.399999999999999">
      <c r="B752" s="207"/>
      <c r="C752" s="208"/>
      <c r="D752" s="205"/>
      <c r="E752" s="204"/>
    </row>
    <row r="753" spans="2:5" ht="17.399999999999999">
      <c r="B753" s="207"/>
      <c r="C753" s="208"/>
      <c r="D753" s="205"/>
      <c r="E753" s="204"/>
    </row>
    <row r="754" spans="2:5" ht="17.399999999999999">
      <c r="B754" s="207"/>
      <c r="C754" s="208"/>
      <c r="D754" s="205"/>
      <c r="E754" s="204"/>
    </row>
    <row r="755" spans="2:5" ht="17.399999999999999">
      <c r="B755" s="207"/>
      <c r="C755" s="208"/>
      <c r="D755" s="205"/>
      <c r="E755" s="204"/>
    </row>
    <row r="756" spans="2:5" ht="17.399999999999999">
      <c r="B756" s="207"/>
      <c r="C756" s="208"/>
      <c r="D756" s="205"/>
      <c r="E756" s="204"/>
    </row>
    <row r="757" spans="2:5" ht="17.399999999999999">
      <c r="B757" s="207"/>
      <c r="C757" s="208"/>
      <c r="D757" s="205"/>
      <c r="E757" s="204"/>
    </row>
    <row r="758" spans="2:5" ht="17.399999999999999">
      <c r="B758" s="207"/>
      <c r="C758" s="208"/>
      <c r="D758" s="205"/>
      <c r="E758" s="204"/>
    </row>
    <row r="759" spans="2:5" ht="17.399999999999999">
      <c r="B759" s="207"/>
      <c r="C759" s="208"/>
      <c r="D759" s="205"/>
      <c r="E759" s="204"/>
    </row>
    <row r="760" spans="2:5" ht="17.399999999999999">
      <c r="B760" s="207"/>
      <c r="C760" s="208"/>
      <c r="D760" s="205"/>
      <c r="E760" s="204"/>
    </row>
    <row r="761" spans="2:5" ht="17.399999999999999">
      <c r="B761" s="207"/>
      <c r="C761" s="208"/>
      <c r="D761" s="205"/>
      <c r="E761" s="204"/>
    </row>
    <row r="762" spans="2:5" ht="17.399999999999999">
      <c r="B762" s="207"/>
      <c r="C762" s="208"/>
      <c r="D762" s="205"/>
      <c r="E762" s="204"/>
    </row>
    <row r="763" spans="2:5" ht="17.399999999999999">
      <c r="B763" s="207"/>
      <c r="C763" s="208"/>
      <c r="D763" s="205"/>
      <c r="E763" s="204"/>
    </row>
    <row r="764" spans="2:5" ht="17.399999999999999">
      <c r="B764" s="207"/>
      <c r="C764" s="208"/>
      <c r="D764" s="205"/>
      <c r="E764" s="204"/>
    </row>
    <row r="765" spans="2:5" ht="17.399999999999999">
      <c r="B765" s="207"/>
      <c r="C765" s="208"/>
      <c r="D765" s="205"/>
      <c r="E765" s="204"/>
    </row>
    <row r="766" spans="2:5" ht="17.399999999999999">
      <c r="B766" s="207"/>
      <c r="C766" s="208"/>
      <c r="D766" s="205"/>
      <c r="E766" s="204"/>
    </row>
    <row r="767" spans="2:5" ht="17.399999999999999">
      <c r="B767" s="207"/>
      <c r="C767" s="208"/>
      <c r="D767" s="205"/>
      <c r="E767" s="204"/>
    </row>
    <row r="768" spans="2:5" ht="17.399999999999999">
      <c r="B768" s="207"/>
      <c r="C768" s="208"/>
      <c r="D768" s="205"/>
      <c r="E768" s="204"/>
    </row>
    <row r="769" spans="2:5" ht="17.399999999999999">
      <c r="B769" s="207"/>
      <c r="C769" s="208"/>
      <c r="D769" s="205"/>
      <c r="E769" s="204"/>
    </row>
    <row r="770" spans="2:5" ht="17.399999999999999">
      <c r="B770" s="207"/>
      <c r="C770" s="208"/>
      <c r="D770" s="205"/>
      <c r="E770" s="204"/>
    </row>
    <row r="771" spans="2:5" ht="17.399999999999999">
      <c r="B771" s="207"/>
      <c r="C771" s="208"/>
      <c r="D771" s="205"/>
      <c r="E771" s="204"/>
    </row>
    <row r="772" spans="2:5" ht="17.399999999999999">
      <c r="B772" s="207"/>
      <c r="C772" s="208"/>
      <c r="D772" s="205"/>
      <c r="E772" s="204"/>
    </row>
    <row r="773" spans="2:5" ht="17.399999999999999">
      <c r="B773" s="207"/>
      <c r="C773" s="208"/>
      <c r="D773" s="205"/>
      <c r="E773" s="204"/>
    </row>
    <row r="774" spans="2:5" ht="17.399999999999999">
      <c r="B774" s="207"/>
      <c r="C774" s="208"/>
      <c r="D774" s="205"/>
      <c r="E774" s="204"/>
    </row>
    <row r="775" spans="2:5" ht="17.399999999999999">
      <c r="B775" s="207"/>
      <c r="C775" s="208"/>
      <c r="D775" s="205"/>
      <c r="E775" s="204"/>
    </row>
    <row r="776" spans="2:5" ht="17.399999999999999">
      <c r="B776" s="207"/>
      <c r="C776" s="208"/>
      <c r="D776" s="205"/>
      <c r="E776" s="204"/>
    </row>
    <row r="777" spans="2:5" ht="17.399999999999999">
      <c r="B777" s="207"/>
      <c r="C777" s="208"/>
      <c r="D777" s="205"/>
      <c r="E777" s="204"/>
    </row>
    <row r="778" spans="2:5" ht="17.399999999999999">
      <c r="B778" s="207"/>
      <c r="C778" s="208"/>
      <c r="D778" s="205"/>
      <c r="E778" s="204"/>
    </row>
    <row r="779" spans="2:5" ht="17.399999999999999">
      <c r="B779" s="207"/>
      <c r="C779" s="208"/>
      <c r="D779" s="205"/>
      <c r="E779" s="204"/>
    </row>
    <row r="780" spans="2:5" ht="17.399999999999999">
      <c r="B780" s="207"/>
      <c r="C780" s="208"/>
      <c r="D780" s="205"/>
      <c r="E780" s="204"/>
    </row>
    <row r="781" spans="2:5" ht="17.399999999999999">
      <c r="B781" s="207"/>
      <c r="C781" s="208"/>
      <c r="D781" s="205"/>
      <c r="E781" s="204"/>
    </row>
    <row r="782" spans="2:5" ht="17.399999999999999">
      <c r="B782" s="207"/>
      <c r="C782" s="208"/>
      <c r="D782" s="205"/>
      <c r="E782" s="204"/>
    </row>
    <row r="783" spans="2:5" ht="17.399999999999999">
      <c r="B783" s="207"/>
      <c r="C783" s="208"/>
      <c r="D783" s="205"/>
      <c r="E783" s="204"/>
    </row>
    <row r="784" spans="2:5" ht="17.399999999999999">
      <c r="B784" s="207"/>
      <c r="C784" s="208"/>
      <c r="D784" s="205"/>
      <c r="E784" s="204"/>
    </row>
    <row r="785" spans="2:5" ht="17.399999999999999">
      <c r="B785" s="207"/>
      <c r="C785" s="208"/>
      <c r="D785" s="205"/>
      <c r="E785" s="204"/>
    </row>
    <row r="786" spans="2:5" ht="17.399999999999999">
      <c r="B786" s="207"/>
      <c r="C786" s="208"/>
      <c r="D786" s="205"/>
      <c r="E786" s="204"/>
    </row>
    <row r="787" spans="2:5" ht="17.399999999999999">
      <c r="B787" s="207"/>
      <c r="C787" s="208"/>
      <c r="D787" s="205"/>
      <c r="E787" s="204"/>
    </row>
    <row r="788" spans="2:5" ht="17.399999999999999">
      <c r="B788" s="207"/>
      <c r="C788" s="208"/>
      <c r="D788" s="205"/>
      <c r="E788" s="204"/>
    </row>
    <row r="789" spans="2:5" ht="17.399999999999999">
      <c r="B789" s="207"/>
      <c r="C789" s="208"/>
      <c r="D789" s="205"/>
      <c r="E789" s="204"/>
    </row>
    <row r="790" spans="2:5" ht="17.399999999999999">
      <c r="B790" s="207"/>
      <c r="C790" s="208"/>
      <c r="D790" s="205"/>
      <c r="E790" s="204"/>
    </row>
    <row r="791" spans="2:5" ht="17.399999999999999">
      <c r="B791" s="207"/>
      <c r="C791" s="208"/>
      <c r="D791" s="205"/>
      <c r="E791" s="204"/>
    </row>
    <row r="792" spans="2:5" ht="17.399999999999999">
      <c r="B792" s="207"/>
      <c r="C792" s="208"/>
      <c r="D792" s="205"/>
      <c r="E792" s="204"/>
    </row>
    <row r="793" spans="2:5" ht="17.399999999999999">
      <c r="B793" s="207"/>
      <c r="C793" s="208"/>
      <c r="D793" s="205"/>
      <c r="E793" s="204"/>
    </row>
    <row r="794" spans="2:5" ht="17.399999999999999">
      <c r="B794" s="207"/>
      <c r="C794" s="208"/>
      <c r="D794" s="205"/>
      <c r="E794" s="204"/>
    </row>
    <row r="795" spans="2:5" ht="17.399999999999999">
      <c r="B795" s="207"/>
      <c r="C795" s="208"/>
      <c r="D795" s="205"/>
      <c r="E795" s="204"/>
    </row>
    <row r="796" spans="2:5" ht="17.399999999999999">
      <c r="B796" s="207"/>
      <c r="C796" s="208"/>
      <c r="D796" s="205"/>
      <c r="E796" s="204"/>
    </row>
    <row r="797" spans="2:5" ht="17.399999999999999">
      <c r="B797" s="207"/>
      <c r="C797" s="208"/>
      <c r="D797" s="205"/>
      <c r="E797" s="204"/>
    </row>
    <row r="798" spans="2:5" ht="17.399999999999999">
      <c r="B798" s="207"/>
      <c r="C798" s="208"/>
      <c r="D798" s="205"/>
      <c r="E798" s="204"/>
    </row>
    <row r="799" spans="2:5" ht="17.399999999999999">
      <c r="B799" s="207"/>
      <c r="C799" s="208"/>
      <c r="D799" s="205"/>
      <c r="E799" s="204"/>
    </row>
    <row r="800" spans="2:5" ht="17.399999999999999">
      <c r="B800" s="207"/>
      <c r="C800" s="208"/>
      <c r="D800" s="205"/>
      <c r="E800" s="204"/>
    </row>
    <row r="801" spans="2:5" ht="17.399999999999999">
      <c r="B801" s="207"/>
      <c r="C801" s="208"/>
      <c r="D801" s="205"/>
      <c r="E801" s="204"/>
    </row>
    <row r="802" spans="2:5" ht="17.399999999999999">
      <c r="B802" s="207"/>
      <c r="C802" s="208"/>
      <c r="D802" s="205"/>
      <c r="E802" s="204"/>
    </row>
    <row r="803" spans="2:5" ht="17.399999999999999">
      <c r="B803" s="207"/>
      <c r="C803" s="208"/>
      <c r="D803" s="205"/>
      <c r="E803" s="204"/>
    </row>
    <row r="804" spans="2:5" ht="17.399999999999999">
      <c r="B804" s="207"/>
      <c r="C804" s="208"/>
      <c r="D804" s="205"/>
      <c r="E804" s="204"/>
    </row>
    <row r="805" spans="2:5" ht="17.399999999999999">
      <c r="B805" s="207"/>
      <c r="C805" s="208"/>
      <c r="D805" s="205"/>
      <c r="E805" s="204"/>
    </row>
    <row r="806" spans="2:5" ht="17.399999999999999">
      <c r="B806" s="207"/>
      <c r="C806" s="208"/>
      <c r="D806" s="205"/>
      <c r="E806" s="204"/>
    </row>
    <row r="807" spans="2:5" ht="17.399999999999999">
      <c r="B807" s="207"/>
      <c r="C807" s="208"/>
      <c r="D807" s="205"/>
      <c r="E807" s="204"/>
    </row>
    <row r="808" spans="2:5" ht="17.399999999999999">
      <c r="B808" s="207"/>
      <c r="C808" s="208"/>
      <c r="D808" s="205"/>
      <c r="E808" s="204"/>
    </row>
    <row r="809" spans="2:5" ht="17.399999999999999">
      <c r="B809" s="207"/>
      <c r="C809" s="208"/>
      <c r="D809" s="205"/>
      <c r="E809" s="204"/>
    </row>
    <row r="810" spans="2:5" ht="17.399999999999999">
      <c r="B810" s="207"/>
      <c r="C810" s="208"/>
      <c r="D810" s="205"/>
      <c r="E810" s="204"/>
    </row>
    <row r="811" spans="2:5" ht="17.399999999999999">
      <c r="B811" s="207"/>
      <c r="C811" s="208"/>
      <c r="D811" s="205"/>
      <c r="E811" s="204"/>
    </row>
    <row r="812" spans="2:5" ht="17.399999999999999">
      <c r="B812" s="207"/>
      <c r="C812" s="208"/>
      <c r="D812" s="205"/>
      <c r="E812" s="204"/>
    </row>
    <row r="813" spans="2:5" ht="17.399999999999999">
      <c r="B813" s="207"/>
      <c r="C813" s="208"/>
      <c r="D813" s="205"/>
      <c r="E813" s="204"/>
    </row>
    <row r="814" spans="2:5" ht="17.399999999999999">
      <c r="B814" s="207"/>
      <c r="C814" s="208"/>
      <c r="D814" s="205"/>
      <c r="E814" s="204"/>
    </row>
    <row r="815" spans="2:5" ht="17.399999999999999">
      <c r="B815" s="207"/>
      <c r="C815" s="208"/>
      <c r="D815" s="205"/>
      <c r="E815" s="204"/>
    </row>
    <row r="816" spans="2:5" ht="17.399999999999999">
      <c r="B816" s="207"/>
      <c r="C816" s="208"/>
      <c r="D816" s="205"/>
      <c r="E816" s="204"/>
    </row>
    <row r="817" spans="2:5" ht="17.399999999999999">
      <c r="B817" s="207"/>
      <c r="C817" s="208"/>
      <c r="D817" s="205"/>
      <c r="E817" s="204"/>
    </row>
    <row r="818" spans="2:5" ht="17.399999999999999">
      <c r="B818" s="207"/>
      <c r="C818" s="208"/>
      <c r="D818" s="205"/>
      <c r="E818" s="204"/>
    </row>
    <row r="819" spans="2:5" ht="17.399999999999999">
      <c r="B819" s="207"/>
      <c r="C819" s="208"/>
      <c r="D819" s="205"/>
      <c r="E819" s="204"/>
    </row>
    <row r="820" spans="2:5" ht="17.399999999999999">
      <c r="B820" s="207"/>
      <c r="C820" s="208"/>
      <c r="D820" s="205"/>
      <c r="E820" s="204"/>
    </row>
    <row r="821" spans="2:5" ht="17.399999999999999">
      <c r="B821" s="207"/>
      <c r="C821" s="208"/>
      <c r="D821" s="205"/>
      <c r="E821" s="204"/>
    </row>
    <row r="822" spans="2:5" ht="17.399999999999999">
      <c r="B822" s="207"/>
      <c r="C822" s="208"/>
      <c r="D822" s="205"/>
      <c r="E822" s="204"/>
    </row>
    <row r="823" spans="2:5" ht="17.399999999999999">
      <c r="B823" s="207"/>
      <c r="C823" s="208"/>
      <c r="D823" s="205"/>
      <c r="E823" s="204"/>
    </row>
    <row r="824" spans="2:5" ht="17.399999999999999">
      <c r="B824" s="207"/>
      <c r="C824" s="208"/>
      <c r="D824" s="205"/>
      <c r="E824" s="204"/>
    </row>
    <row r="825" spans="2:5" ht="17.399999999999999">
      <c r="B825" s="207"/>
      <c r="C825" s="208"/>
      <c r="D825" s="205"/>
      <c r="E825" s="204"/>
    </row>
    <row r="826" spans="2:5" ht="17.399999999999999">
      <c r="B826" s="207"/>
      <c r="C826" s="208"/>
      <c r="D826" s="205"/>
      <c r="E826" s="204"/>
    </row>
    <row r="827" spans="2:5" ht="17.399999999999999">
      <c r="B827" s="207"/>
      <c r="C827" s="208"/>
      <c r="D827" s="205"/>
      <c r="E827" s="204"/>
    </row>
    <row r="828" spans="2:5" ht="17.399999999999999">
      <c r="B828" s="207"/>
      <c r="C828" s="208"/>
      <c r="D828" s="205"/>
      <c r="E828" s="204"/>
    </row>
    <row r="829" spans="2:5" ht="17.399999999999999">
      <c r="B829" s="207"/>
      <c r="C829" s="208"/>
      <c r="D829" s="205"/>
      <c r="E829" s="204"/>
    </row>
    <row r="830" spans="2:5" ht="17.399999999999999">
      <c r="B830" s="207"/>
      <c r="C830" s="208"/>
      <c r="D830" s="205"/>
      <c r="E830" s="204"/>
    </row>
    <row r="831" spans="2:5" ht="17.399999999999999">
      <c r="B831" s="207"/>
      <c r="C831" s="208"/>
      <c r="D831" s="205"/>
      <c r="E831" s="204"/>
    </row>
    <row r="832" spans="2:5" ht="17.399999999999999">
      <c r="B832" s="207"/>
      <c r="C832" s="208"/>
      <c r="D832" s="205"/>
      <c r="E832" s="204"/>
    </row>
    <row r="833" spans="2:5" ht="17.399999999999999">
      <c r="B833" s="207"/>
      <c r="C833" s="208"/>
      <c r="D833" s="205"/>
      <c r="E833" s="204"/>
    </row>
    <row r="834" spans="2:5" ht="17.399999999999999">
      <c r="B834" s="207"/>
      <c r="C834" s="208"/>
      <c r="D834" s="205"/>
      <c r="E834" s="204"/>
    </row>
    <row r="835" spans="2:5" ht="17.399999999999999">
      <c r="B835" s="207"/>
      <c r="C835" s="208"/>
      <c r="D835" s="205"/>
      <c r="E835" s="204"/>
    </row>
    <row r="836" spans="2:5" ht="17.399999999999999">
      <c r="B836" s="207"/>
      <c r="C836" s="208"/>
      <c r="D836" s="205"/>
      <c r="E836" s="204"/>
    </row>
    <row r="837" spans="2:5" ht="17.399999999999999">
      <c r="B837" s="207"/>
      <c r="C837" s="208"/>
      <c r="D837" s="205"/>
      <c r="E837" s="204"/>
    </row>
    <row r="838" spans="2:5" ht="17.399999999999999">
      <c r="B838" s="207"/>
      <c r="C838" s="208"/>
      <c r="D838" s="205"/>
      <c r="E838" s="204"/>
    </row>
    <row r="839" spans="2:5" ht="17.399999999999999">
      <c r="B839" s="207"/>
      <c r="C839" s="208"/>
      <c r="D839" s="205"/>
      <c r="E839" s="204"/>
    </row>
    <row r="840" spans="2:5" ht="17.399999999999999">
      <c r="B840" s="207"/>
      <c r="C840" s="208"/>
      <c r="D840" s="205"/>
      <c r="E840" s="204"/>
    </row>
    <row r="841" spans="2:5" ht="17.399999999999999">
      <c r="B841" s="207"/>
      <c r="C841" s="208"/>
      <c r="D841" s="205"/>
      <c r="E841" s="204"/>
    </row>
    <row r="842" spans="2:5" ht="17.399999999999999">
      <c r="B842" s="207"/>
      <c r="C842" s="208"/>
      <c r="D842" s="205"/>
      <c r="E842" s="204"/>
    </row>
    <row r="843" spans="2:5" ht="17.399999999999999">
      <c r="B843" s="207"/>
      <c r="C843" s="208"/>
      <c r="D843" s="205"/>
      <c r="E843" s="204"/>
    </row>
    <row r="844" spans="2:5" ht="17.399999999999999">
      <c r="B844" s="207"/>
      <c r="C844" s="208"/>
      <c r="D844" s="205"/>
      <c r="E844" s="204"/>
    </row>
    <row r="845" spans="2:5" ht="17.399999999999999">
      <c r="B845" s="207"/>
      <c r="C845" s="208"/>
      <c r="D845" s="205"/>
      <c r="E845" s="204"/>
    </row>
    <row r="846" spans="2:5" ht="17.399999999999999">
      <c r="B846" s="207"/>
      <c r="C846" s="208"/>
      <c r="D846" s="205"/>
      <c r="E846" s="204"/>
    </row>
    <row r="847" spans="2:5" ht="17.399999999999999">
      <c r="B847" s="207"/>
      <c r="C847" s="208"/>
      <c r="D847" s="205"/>
      <c r="E847" s="204"/>
    </row>
    <row r="848" spans="2:5" ht="17.399999999999999">
      <c r="B848" s="207"/>
      <c r="C848" s="208"/>
      <c r="D848" s="205"/>
      <c r="E848" s="204"/>
    </row>
    <row r="849" spans="2:5" ht="17.399999999999999">
      <c r="B849" s="207"/>
      <c r="C849" s="208"/>
      <c r="D849" s="205"/>
      <c r="E849" s="204"/>
    </row>
    <row r="850" spans="2:5" ht="17.399999999999999">
      <c r="B850" s="207"/>
      <c r="C850" s="208"/>
      <c r="D850" s="205"/>
      <c r="E850" s="204"/>
    </row>
    <row r="851" spans="2:5" ht="17.399999999999999">
      <c r="B851" s="207"/>
      <c r="C851" s="208"/>
      <c r="D851" s="205"/>
      <c r="E851" s="204"/>
    </row>
    <row r="852" spans="2:5" ht="17.399999999999999">
      <c r="B852" s="207"/>
      <c r="C852" s="208"/>
      <c r="D852" s="205"/>
      <c r="E852" s="204"/>
    </row>
    <row r="853" spans="2:5" ht="17.399999999999999">
      <c r="B853" s="207"/>
      <c r="C853" s="208"/>
      <c r="D853" s="205"/>
      <c r="E853" s="204"/>
    </row>
    <row r="854" spans="2:5" ht="17.399999999999999">
      <c r="B854" s="207"/>
      <c r="C854" s="208"/>
      <c r="D854" s="205"/>
      <c r="E854" s="204"/>
    </row>
    <row r="855" spans="2:5" ht="17.399999999999999">
      <c r="B855" s="207"/>
      <c r="C855" s="208"/>
      <c r="D855" s="205"/>
      <c r="E855" s="204"/>
    </row>
    <row r="856" spans="2:5" ht="17.399999999999999">
      <c r="B856" s="207"/>
      <c r="C856" s="208"/>
      <c r="D856" s="205"/>
      <c r="E856" s="204"/>
    </row>
    <row r="857" spans="2:5" ht="17.399999999999999">
      <c r="B857" s="207"/>
      <c r="C857" s="208"/>
      <c r="D857" s="205"/>
      <c r="E857" s="204"/>
    </row>
    <row r="858" spans="2:5" ht="17.399999999999999">
      <c r="B858" s="207"/>
      <c r="C858" s="208"/>
      <c r="D858" s="205"/>
      <c r="E858" s="204"/>
    </row>
    <row r="859" spans="2:5" ht="17.399999999999999">
      <c r="B859" s="207"/>
      <c r="C859" s="208"/>
      <c r="D859" s="205"/>
      <c r="E859" s="204"/>
    </row>
    <row r="860" spans="2:5" ht="17.399999999999999">
      <c r="B860" s="207"/>
      <c r="C860" s="208"/>
      <c r="D860" s="205"/>
      <c r="E860" s="204"/>
    </row>
    <row r="861" spans="2:5" ht="17.399999999999999">
      <c r="B861" s="207"/>
      <c r="C861" s="208"/>
      <c r="D861" s="205"/>
      <c r="E861" s="204"/>
    </row>
    <row r="862" spans="2:5" ht="17.399999999999999">
      <c r="B862" s="207"/>
      <c r="C862" s="208"/>
      <c r="D862" s="205"/>
      <c r="E862" s="204"/>
    </row>
    <row r="863" spans="2:5" ht="17.399999999999999">
      <c r="B863" s="207"/>
      <c r="C863" s="208"/>
      <c r="D863" s="205"/>
      <c r="E863" s="204"/>
    </row>
    <row r="864" spans="2:5" ht="17.399999999999999">
      <c r="B864" s="207"/>
      <c r="C864" s="208"/>
      <c r="D864" s="205"/>
      <c r="E864" s="204"/>
    </row>
    <row r="865" spans="2:5" ht="17.399999999999999">
      <c r="B865" s="207"/>
      <c r="C865" s="208"/>
      <c r="D865" s="205"/>
      <c r="E865" s="204"/>
    </row>
    <row r="866" spans="2:5" ht="17.399999999999999">
      <c r="B866" s="207"/>
      <c r="C866" s="208"/>
      <c r="D866" s="205"/>
      <c r="E866" s="204"/>
    </row>
    <row r="867" spans="2:5" ht="17.399999999999999">
      <c r="B867" s="207"/>
      <c r="C867" s="208"/>
      <c r="D867" s="205"/>
      <c r="E867" s="204"/>
    </row>
    <row r="868" spans="2:5" ht="17.399999999999999">
      <c r="B868" s="207"/>
      <c r="C868" s="208"/>
      <c r="D868" s="205"/>
      <c r="E868" s="204"/>
    </row>
    <row r="869" spans="2:5" ht="17.399999999999999">
      <c r="B869" s="207"/>
      <c r="C869" s="208"/>
      <c r="D869" s="205"/>
      <c r="E869" s="204"/>
    </row>
    <row r="870" spans="2:5" ht="17.399999999999999">
      <c r="B870" s="207"/>
      <c r="C870" s="208"/>
      <c r="D870" s="205"/>
      <c r="E870" s="204"/>
    </row>
    <row r="871" spans="2:5" ht="17.399999999999999">
      <c r="B871" s="207"/>
      <c r="C871" s="208"/>
      <c r="D871" s="205"/>
      <c r="E871" s="204"/>
    </row>
    <row r="872" spans="2:5" ht="17.399999999999999">
      <c r="B872" s="207"/>
      <c r="C872" s="208"/>
      <c r="D872" s="205"/>
      <c r="E872" s="204"/>
    </row>
    <row r="873" spans="2:5" ht="17.399999999999999">
      <c r="B873" s="207"/>
      <c r="C873" s="208"/>
      <c r="D873" s="205"/>
      <c r="E873" s="204"/>
    </row>
    <row r="874" spans="2:5" ht="17.399999999999999">
      <c r="B874" s="207"/>
      <c r="C874" s="208"/>
      <c r="D874" s="205"/>
      <c r="E874" s="204"/>
    </row>
    <row r="875" spans="2:5" ht="17.399999999999999">
      <c r="B875" s="207"/>
      <c r="C875" s="208"/>
      <c r="D875" s="205"/>
      <c r="E875" s="204"/>
    </row>
    <row r="876" spans="2:5" ht="17.399999999999999">
      <c r="B876" s="207"/>
      <c r="C876" s="208"/>
      <c r="D876" s="205"/>
      <c r="E876" s="204"/>
    </row>
    <row r="877" spans="2:5" ht="17.399999999999999">
      <c r="B877" s="207"/>
      <c r="C877" s="208"/>
      <c r="D877" s="205"/>
      <c r="E877" s="204"/>
    </row>
    <row r="878" spans="2:5" ht="17.399999999999999">
      <c r="B878" s="207"/>
      <c r="C878" s="208"/>
      <c r="D878" s="205"/>
      <c r="E878" s="204"/>
    </row>
    <row r="879" spans="2:5" ht="17.399999999999999">
      <c r="B879" s="207"/>
      <c r="C879" s="208"/>
      <c r="D879" s="205"/>
      <c r="E879" s="204"/>
    </row>
    <row r="880" spans="2:5" ht="17.399999999999999">
      <c r="B880" s="207"/>
      <c r="C880" s="208"/>
      <c r="D880" s="205"/>
      <c r="E880" s="204"/>
    </row>
    <row r="881" spans="2:5" ht="17.399999999999999">
      <c r="B881" s="207"/>
      <c r="C881" s="208"/>
      <c r="D881" s="205"/>
      <c r="E881" s="204"/>
    </row>
    <row r="882" spans="2:5" ht="17.399999999999999">
      <c r="B882" s="207"/>
      <c r="C882" s="208"/>
      <c r="D882" s="205"/>
      <c r="E882" s="204"/>
    </row>
    <row r="883" spans="2:5" ht="17.399999999999999">
      <c r="B883" s="207"/>
      <c r="C883" s="208"/>
      <c r="D883" s="205"/>
      <c r="E883" s="204"/>
    </row>
    <row r="884" spans="2:5" ht="17.399999999999999">
      <c r="B884" s="207"/>
      <c r="C884" s="208"/>
      <c r="D884" s="205"/>
      <c r="E884" s="204"/>
    </row>
    <row r="885" spans="2:5" ht="17.399999999999999">
      <c r="B885" s="207"/>
      <c r="C885" s="208"/>
      <c r="D885" s="205"/>
      <c r="E885" s="204"/>
    </row>
    <row r="886" spans="2:5" ht="17.399999999999999">
      <c r="B886" s="207"/>
      <c r="C886" s="208"/>
      <c r="D886" s="205"/>
      <c r="E886" s="204"/>
    </row>
    <row r="887" spans="2:5" ht="17.399999999999999">
      <c r="B887" s="207"/>
      <c r="C887" s="208"/>
      <c r="D887" s="205"/>
      <c r="E887" s="204"/>
    </row>
    <row r="888" spans="2:5" ht="17.399999999999999">
      <c r="B888" s="207"/>
      <c r="C888" s="208"/>
      <c r="D888" s="205"/>
      <c r="E888" s="204"/>
    </row>
    <row r="889" spans="2:5" ht="17.399999999999999">
      <c r="B889" s="207"/>
      <c r="C889" s="208"/>
      <c r="D889" s="205"/>
      <c r="E889" s="204"/>
    </row>
    <row r="890" spans="2:5" ht="17.399999999999999">
      <c r="B890" s="207"/>
      <c r="C890" s="208"/>
      <c r="D890" s="205"/>
      <c r="E890" s="204"/>
    </row>
    <row r="891" spans="2:5" ht="17.399999999999999">
      <c r="B891" s="207"/>
      <c r="C891" s="208"/>
      <c r="D891" s="205"/>
      <c r="E891" s="204"/>
    </row>
    <row r="892" spans="2:5" ht="17.399999999999999">
      <c r="B892" s="207"/>
      <c r="C892" s="208"/>
      <c r="D892" s="205"/>
      <c r="E892" s="204"/>
    </row>
    <row r="893" spans="2:5" ht="17.399999999999999">
      <c r="B893" s="207"/>
      <c r="C893" s="208"/>
      <c r="D893" s="205"/>
      <c r="E893" s="204"/>
    </row>
    <row r="894" spans="2:5" ht="17.399999999999999">
      <c r="B894" s="207"/>
      <c r="C894" s="208"/>
      <c r="D894" s="205"/>
      <c r="E894" s="204"/>
    </row>
    <row r="895" spans="2:5" ht="17.399999999999999">
      <c r="B895" s="207"/>
      <c r="C895" s="208"/>
      <c r="D895" s="205"/>
      <c r="E895" s="204"/>
    </row>
    <row r="896" spans="2:5" ht="17.399999999999999">
      <c r="B896" s="207"/>
      <c r="C896" s="208"/>
      <c r="D896" s="205"/>
      <c r="E896" s="204"/>
    </row>
    <row r="897" spans="2:5" ht="17.399999999999999">
      <c r="B897" s="207"/>
      <c r="C897" s="208"/>
      <c r="D897" s="205"/>
      <c r="E897" s="204"/>
    </row>
    <row r="898" spans="2:5" ht="17.399999999999999">
      <c r="B898" s="207"/>
      <c r="C898" s="208"/>
      <c r="D898" s="205"/>
      <c r="E898" s="204"/>
    </row>
    <row r="899" spans="2:5" ht="17.399999999999999">
      <c r="B899" s="207"/>
      <c r="C899" s="208"/>
      <c r="D899" s="205"/>
      <c r="E899" s="204"/>
    </row>
    <row r="900" spans="2:5" ht="17.399999999999999">
      <c r="B900" s="207"/>
      <c r="C900" s="208"/>
      <c r="D900" s="205"/>
      <c r="E900" s="204"/>
    </row>
    <row r="901" spans="2:5" ht="17.399999999999999">
      <c r="B901" s="207"/>
      <c r="C901" s="208"/>
      <c r="D901" s="205"/>
      <c r="E901" s="204"/>
    </row>
    <row r="902" spans="2:5" ht="17.399999999999999">
      <c r="B902" s="207"/>
      <c r="C902" s="208"/>
      <c r="D902" s="205"/>
      <c r="E902" s="204"/>
    </row>
    <row r="903" spans="2:5" ht="17.399999999999999">
      <c r="B903" s="207"/>
      <c r="C903" s="208"/>
      <c r="D903" s="205"/>
      <c r="E903" s="204"/>
    </row>
    <row r="904" spans="2:5" ht="17.399999999999999">
      <c r="B904" s="207"/>
      <c r="C904" s="208"/>
      <c r="D904" s="205"/>
      <c r="E904" s="204"/>
    </row>
    <row r="905" spans="2:5" ht="17.399999999999999">
      <c r="B905" s="207"/>
      <c r="C905" s="208"/>
      <c r="D905" s="205"/>
      <c r="E905" s="204"/>
    </row>
    <row r="906" spans="2:5" ht="17.399999999999999">
      <c r="B906" s="207"/>
      <c r="C906" s="208"/>
      <c r="D906" s="205"/>
      <c r="E906" s="204"/>
    </row>
    <row r="907" spans="2:5" ht="17.399999999999999">
      <c r="B907" s="207"/>
      <c r="C907" s="208"/>
      <c r="D907" s="205"/>
      <c r="E907" s="204"/>
    </row>
    <row r="908" spans="2:5" ht="17.399999999999999">
      <c r="B908" s="207"/>
      <c r="C908" s="208"/>
      <c r="D908" s="205"/>
      <c r="E908" s="204"/>
    </row>
    <row r="909" spans="2:5" ht="17.399999999999999">
      <c r="B909" s="207"/>
      <c r="C909" s="208"/>
      <c r="D909" s="205"/>
      <c r="E909" s="204"/>
    </row>
    <row r="910" spans="2:5" ht="17.399999999999999">
      <c r="B910" s="207"/>
      <c r="C910" s="208"/>
      <c r="D910" s="205"/>
      <c r="E910" s="204"/>
    </row>
    <row r="911" spans="2:5" ht="17.399999999999999">
      <c r="B911" s="207"/>
      <c r="C911" s="208"/>
      <c r="D911" s="205"/>
      <c r="E911" s="204"/>
    </row>
    <row r="912" spans="2:5" ht="17.399999999999999">
      <c r="B912" s="207"/>
      <c r="C912" s="208"/>
      <c r="D912" s="205"/>
      <c r="E912" s="204"/>
    </row>
    <row r="913" spans="2:5" ht="17.399999999999999">
      <c r="B913" s="207"/>
      <c r="C913" s="208"/>
      <c r="D913" s="205"/>
      <c r="E913" s="204"/>
    </row>
    <row r="914" spans="2:5" ht="17.399999999999999">
      <c r="B914" s="207"/>
      <c r="C914" s="208"/>
      <c r="D914" s="205"/>
      <c r="E914" s="204"/>
    </row>
    <row r="915" spans="2:5" ht="17.399999999999999">
      <c r="B915" s="207"/>
      <c r="C915" s="208"/>
      <c r="D915" s="205"/>
      <c r="E915" s="204"/>
    </row>
    <row r="916" spans="2:5" ht="17.399999999999999">
      <c r="B916" s="207"/>
      <c r="C916" s="208"/>
      <c r="D916" s="205"/>
      <c r="E916" s="204"/>
    </row>
    <row r="917" spans="2:5" ht="17.399999999999999">
      <c r="B917" s="207"/>
      <c r="C917" s="208"/>
      <c r="D917" s="205"/>
      <c r="E917" s="204"/>
    </row>
    <row r="918" spans="2:5" ht="17.399999999999999">
      <c r="B918" s="207"/>
      <c r="C918" s="208"/>
      <c r="D918" s="205"/>
      <c r="E918" s="204"/>
    </row>
    <row r="919" spans="2:5" ht="17.399999999999999">
      <c r="B919" s="207"/>
      <c r="C919" s="208"/>
      <c r="D919" s="205"/>
      <c r="E919" s="204"/>
    </row>
    <row r="920" spans="2:5" ht="17.399999999999999">
      <c r="B920" s="207"/>
      <c r="C920" s="208"/>
      <c r="D920" s="205"/>
      <c r="E920" s="204"/>
    </row>
    <row r="921" spans="2:5" ht="17.399999999999999">
      <c r="B921" s="207"/>
      <c r="C921" s="208"/>
      <c r="D921" s="205"/>
      <c r="E921" s="204"/>
    </row>
    <row r="922" spans="2:5" ht="17.399999999999999">
      <c r="B922" s="207"/>
      <c r="C922" s="208"/>
      <c r="D922" s="205"/>
      <c r="E922" s="204"/>
    </row>
    <row r="923" spans="2:5" ht="17.399999999999999">
      <c r="B923" s="207"/>
      <c r="C923" s="208"/>
      <c r="D923" s="205"/>
      <c r="E923" s="204"/>
    </row>
    <row r="924" spans="2:5" ht="17.399999999999999">
      <c r="B924" s="207"/>
      <c r="C924" s="208"/>
      <c r="D924" s="205"/>
      <c r="E924" s="204"/>
    </row>
    <row r="925" spans="2:5" ht="17.399999999999999">
      <c r="B925" s="207"/>
      <c r="C925" s="208"/>
      <c r="D925" s="205"/>
      <c r="E925" s="204"/>
    </row>
    <row r="926" spans="2:5" ht="17.399999999999999">
      <c r="B926" s="207"/>
      <c r="C926" s="208"/>
      <c r="D926" s="205"/>
      <c r="E926" s="204"/>
    </row>
    <row r="927" spans="2:5" ht="17.399999999999999">
      <c r="B927" s="207"/>
      <c r="C927" s="208"/>
      <c r="D927" s="205"/>
      <c r="E927" s="204"/>
    </row>
    <row r="928" spans="2:5" ht="17.399999999999999">
      <c r="B928" s="207"/>
      <c r="C928" s="208"/>
      <c r="D928" s="205"/>
      <c r="E928" s="204"/>
    </row>
    <row r="929" spans="2:5" ht="17.399999999999999">
      <c r="B929" s="207"/>
      <c r="C929" s="208"/>
      <c r="D929" s="205"/>
      <c r="E929" s="204"/>
    </row>
    <row r="930" spans="2:5" ht="17.399999999999999">
      <c r="B930" s="207"/>
      <c r="C930" s="208"/>
      <c r="D930" s="205"/>
      <c r="E930" s="204"/>
    </row>
    <row r="931" spans="2:5" ht="17.399999999999999">
      <c r="B931" s="207"/>
      <c r="C931" s="208"/>
      <c r="D931" s="205"/>
      <c r="E931" s="204"/>
    </row>
    <row r="932" spans="2:5" ht="17.399999999999999">
      <c r="B932" s="207"/>
      <c r="C932" s="208"/>
      <c r="D932" s="205"/>
      <c r="E932" s="204"/>
    </row>
    <row r="933" spans="2:5" ht="17.399999999999999">
      <c r="B933" s="207"/>
      <c r="C933" s="208"/>
      <c r="D933" s="205"/>
      <c r="E933" s="204"/>
    </row>
    <row r="934" spans="2:5" ht="17.399999999999999">
      <c r="B934" s="207"/>
      <c r="C934" s="208"/>
      <c r="D934" s="205"/>
      <c r="E934" s="204"/>
    </row>
    <row r="935" spans="2:5" ht="17.399999999999999">
      <c r="B935" s="207"/>
      <c r="C935" s="208"/>
      <c r="D935" s="205"/>
      <c r="E935" s="204"/>
    </row>
    <row r="936" spans="2:5" ht="17.399999999999999">
      <c r="B936" s="207"/>
      <c r="C936" s="208"/>
      <c r="D936" s="205"/>
      <c r="E936" s="204"/>
    </row>
    <row r="937" spans="2:5" ht="17.399999999999999">
      <c r="B937" s="207"/>
      <c r="C937" s="208"/>
      <c r="D937" s="205"/>
      <c r="E937" s="204"/>
    </row>
    <row r="938" spans="2:5" ht="17.399999999999999">
      <c r="B938" s="207"/>
      <c r="C938" s="208"/>
      <c r="D938" s="205"/>
      <c r="E938" s="204"/>
    </row>
    <row r="939" spans="2:5" ht="17.399999999999999">
      <c r="B939" s="207"/>
      <c r="C939" s="208"/>
      <c r="D939" s="205"/>
      <c r="E939" s="204"/>
    </row>
    <row r="940" spans="2:5" ht="17.399999999999999">
      <c r="B940" s="207"/>
      <c r="C940" s="208"/>
      <c r="D940" s="205"/>
      <c r="E940" s="204"/>
    </row>
    <row r="941" spans="2:5" ht="17.399999999999999">
      <c r="B941" s="207"/>
      <c r="C941" s="208"/>
      <c r="D941" s="205"/>
      <c r="E941" s="204"/>
    </row>
    <row r="942" spans="2:5" ht="17.399999999999999">
      <c r="B942" s="207"/>
      <c r="C942" s="208"/>
      <c r="D942" s="205"/>
      <c r="E942" s="204"/>
    </row>
    <row r="943" spans="2:5" ht="17.399999999999999">
      <c r="B943" s="207"/>
      <c r="C943" s="208"/>
      <c r="D943" s="205"/>
      <c r="E943" s="204"/>
    </row>
    <row r="944" spans="2:5" ht="17.399999999999999">
      <c r="B944" s="207"/>
      <c r="C944" s="208"/>
      <c r="D944" s="205"/>
      <c r="E944" s="204"/>
    </row>
    <row r="945" spans="2:5" ht="17.399999999999999">
      <c r="B945" s="207"/>
      <c r="C945" s="208"/>
      <c r="D945" s="205"/>
      <c r="E945" s="204"/>
    </row>
    <row r="946" spans="2:5" ht="17.399999999999999">
      <c r="B946" s="207"/>
      <c r="C946" s="208"/>
      <c r="D946" s="205"/>
      <c r="E946" s="204"/>
    </row>
    <row r="947" spans="2:5" ht="17.399999999999999">
      <c r="B947" s="207"/>
      <c r="C947" s="208"/>
      <c r="D947" s="205"/>
      <c r="E947" s="204"/>
    </row>
    <row r="948" spans="2:5" ht="17.399999999999999">
      <c r="B948" s="207"/>
      <c r="C948" s="208"/>
      <c r="D948" s="205"/>
      <c r="E948" s="204"/>
    </row>
    <row r="949" spans="2:5" ht="17.399999999999999">
      <c r="B949" s="207"/>
      <c r="C949" s="208"/>
      <c r="D949" s="205"/>
      <c r="E949" s="204"/>
    </row>
    <row r="950" spans="2:5" ht="17.399999999999999">
      <c r="B950" s="207"/>
      <c r="C950" s="208"/>
      <c r="D950" s="205"/>
      <c r="E950" s="204"/>
    </row>
    <row r="951" spans="2:5" ht="17.399999999999999">
      <c r="B951" s="207"/>
      <c r="C951" s="208"/>
      <c r="D951" s="205"/>
      <c r="E951" s="204"/>
    </row>
    <row r="952" spans="2:5" ht="17.399999999999999">
      <c r="B952" s="207"/>
      <c r="C952" s="208"/>
      <c r="D952" s="205"/>
      <c r="E952" s="204"/>
    </row>
    <row r="953" spans="2:5" ht="17.399999999999999">
      <c r="B953" s="207"/>
      <c r="C953" s="208"/>
      <c r="D953" s="205"/>
      <c r="E953" s="204"/>
    </row>
    <row r="954" spans="2:5" ht="17.399999999999999">
      <c r="B954" s="207"/>
      <c r="C954" s="208"/>
      <c r="D954" s="205"/>
      <c r="E954" s="204"/>
    </row>
    <row r="955" spans="2:5" ht="17.399999999999999">
      <c r="B955" s="207"/>
      <c r="C955" s="208"/>
      <c r="D955" s="205"/>
      <c r="E955" s="204"/>
    </row>
    <row r="956" spans="2:5" ht="17.399999999999999">
      <c r="B956" s="207"/>
      <c r="C956" s="208"/>
      <c r="D956" s="205"/>
      <c r="E956" s="204"/>
    </row>
    <row r="957" spans="2:5" ht="17.399999999999999">
      <c r="B957" s="207"/>
      <c r="C957" s="208"/>
      <c r="D957" s="205"/>
      <c r="E957" s="204"/>
    </row>
    <row r="958" spans="2:5" ht="17.399999999999999">
      <c r="B958" s="207"/>
      <c r="C958" s="208"/>
      <c r="D958" s="205"/>
      <c r="E958" s="204"/>
    </row>
    <row r="959" spans="2:5" ht="17.399999999999999">
      <c r="B959" s="207"/>
      <c r="C959" s="208"/>
      <c r="D959" s="205"/>
      <c r="E959" s="204"/>
    </row>
    <row r="960" spans="2:5" ht="17.399999999999999">
      <c r="B960" s="207"/>
      <c r="C960" s="208"/>
      <c r="D960" s="205"/>
      <c r="E960" s="204"/>
    </row>
    <row r="961" spans="2:5" ht="17.399999999999999">
      <c r="B961" s="207"/>
      <c r="C961" s="208"/>
      <c r="D961" s="205"/>
      <c r="E961" s="204"/>
    </row>
    <row r="962" spans="2:5" ht="17.399999999999999">
      <c r="B962" s="207"/>
      <c r="C962" s="208"/>
      <c r="D962" s="205"/>
      <c r="E962" s="204"/>
    </row>
    <row r="963" spans="2:5" ht="17.399999999999999">
      <c r="B963" s="207"/>
      <c r="C963" s="208"/>
      <c r="D963" s="205"/>
      <c r="E963" s="204"/>
    </row>
    <row r="964" spans="2:5" ht="17.399999999999999">
      <c r="B964" s="207"/>
      <c r="C964" s="208"/>
      <c r="D964" s="205"/>
      <c r="E964" s="204"/>
    </row>
    <row r="965" spans="2:5" ht="17.399999999999999">
      <c r="B965" s="207"/>
      <c r="C965" s="208"/>
      <c r="D965" s="205"/>
      <c r="E965" s="204"/>
    </row>
    <row r="966" spans="2:5" ht="17.399999999999999">
      <c r="B966" s="207"/>
      <c r="C966" s="208"/>
      <c r="D966" s="205"/>
      <c r="E966" s="204"/>
    </row>
    <row r="967" spans="2:5" ht="17.399999999999999">
      <c r="B967" s="207"/>
      <c r="C967" s="208"/>
      <c r="D967" s="205"/>
      <c r="E967" s="204"/>
    </row>
    <row r="968" spans="2:5" ht="17.399999999999999">
      <c r="B968" s="207"/>
      <c r="C968" s="208"/>
      <c r="D968" s="205"/>
      <c r="E968" s="204"/>
    </row>
    <row r="969" spans="2:5" ht="17.399999999999999">
      <c r="B969" s="207"/>
      <c r="C969" s="208"/>
      <c r="D969" s="205"/>
      <c r="E969" s="204"/>
    </row>
    <row r="970" spans="2:5" ht="17.399999999999999">
      <c r="B970" s="207"/>
      <c r="C970" s="208"/>
      <c r="D970" s="205"/>
      <c r="E970" s="204"/>
    </row>
    <row r="971" spans="2:5" ht="17.399999999999999">
      <c r="B971" s="207"/>
      <c r="C971" s="208"/>
      <c r="D971" s="205"/>
      <c r="E971" s="204"/>
    </row>
    <row r="972" spans="2:5" ht="17.399999999999999">
      <c r="B972" s="207"/>
      <c r="C972" s="208"/>
      <c r="D972" s="205"/>
      <c r="E972" s="204"/>
    </row>
    <row r="973" spans="2:5" ht="17.399999999999999">
      <c r="B973" s="207"/>
      <c r="C973" s="208"/>
      <c r="D973" s="205"/>
      <c r="E973" s="204"/>
    </row>
    <row r="974" spans="2:5" ht="17.399999999999999">
      <c r="B974" s="207"/>
      <c r="C974" s="208"/>
      <c r="D974" s="205"/>
      <c r="E974" s="204"/>
    </row>
    <row r="975" spans="2:5" ht="17.399999999999999">
      <c r="B975" s="207"/>
      <c r="C975" s="208"/>
      <c r="D975" s="205"/>
      <c r="E975" s="204"/>
    </row>
    <row r="976" spans="2:5" ht="17.399999999999999">
      <c r="B976" s="207"/>
      <c r="C976" s="208"/>
      <c r="D976" s="205"/>
      <c r="E976" s="204"/>
    </row>
    <row r="977" spans="2:5" ht="17.399999999999999">
      <c r="B977" s="207"/>
      <c r="C977" s="208"/>
      <c r="D977" s="205"/>
      <c r="E977" s="204"/>
    </row>
    <row r="978" spans="2:5" ht="17.399999999999999">
      <c r="B978" s="207"/>
      <c r="C978" s="208"/>
      <c r="D978" s="205"/>
      <c r="E978" s="204"/>
    </row>
    <row r="979" spans="2:5" ht="17.399999999999999">
      <c r="B979" s="207"/>
      <c r="C979" s="208"/>
      <c r="D979" s="205"/>
      <c r="E979" s="204"/>
    </row>
    <row r="980" spans="2:5" ht="17.399999999999999">
      <c r="B980" s="207"/>
      <c r="C980" s="208"/>
      <c r="D980" s="205"/>
      <c r="E980" s="204"/>
    </row>
    <row r="981" spans="2:5" ht="17.399999999999999">
      <c r="B981" s="207"/>
      <c r="C981" s="208"/>
      <c r="D981" s="205"/>
      <c r="E981" s="204"/>
    </row>
    <row r="982" spans="2:5" ht="17.399999999999999">
      <c r="B982" s="207"/>
      <c r="C982" s="208"/>
      <c r="D982" s="205"/>
      <c r="E982" s="204"/>
    </row>
    <row r="983" spans="2:5" ht="17.399999999999999">
      <c r="B983" s="207"/>
      <c r="C983" s="208"/>
      <c r="D983" s="205"/>
      <c r="E983" s="204"/>
    </row>
    <row r="984" spans="2:5" ht="17.399999999999999">
      <c r="B984" s="207"/>
      <c r="C984" s="208"/>
      <c r="D984" s="205"/>
      <c r="E984" s="204"/>
    </row>
    <row r="985" spans="2:5" ht="17.399999999999999">
      <c r="B985" s="207"/>
      <c r="C985" s="208"/>
      <c r="D985" s="205"/>
      <c r="E985" s="204"/>
    </row>
    <row r="986" spans="2:5" ht="17.399999999999999">
      <c r="B986" s="207"/>
      <c r="C986" s="208"/>
      <c r="D986" s="205"/>
      <c r="E986" s="204"/>
    </row>
    <row r="987" spans="2:5" ht="17.399999999999999">
      <c r="B987" s="207"/>
      <c r="C987" s="208"/>
      <c r="D987" s="205"/>
      <c r="E987" s="204"/>
    </row>
    <row r="988" spans="2:5" ht="17.399999999999999">
      <c r="B988" s="207"/>
      <c r="C988" s="208"/>
      <c r="D988" s="205"/>
      <c r="E988" s="204"/>
    </row>
    <row r="989" spans="2:5" ht="17.399999999999999">
      <c r="B989" s="207"/>
      <c r="C989" s="208"/>
      <c r="D989" s="205"/>
      <c r="E989" s="204"/>
    </row>
  </sheetData>
  <sheetProtection algorithmName="SHA-512" hashValue="5OzyqJ9B0j5jKaiCJNA19ydIo0W5gMz7fNhFqHrV7HBb+k+EHpI6PySolfCQugEHQT9bUHWbG4E13UKCXY4J5w==" saltValue="quzDhIr5WuvygwUpSXejTA==" spinCount="100000" sheet="1" objects="1" scenarios="1"/>
  <mergeCells count="16">
    <mergeCell ref="P12:R12"/>
    <mergeCell ref="P13:R13"/>
    <mergeCell ref="D43:F43"/>
    <mergeCell ref="D42:F42"/>
    <mergeCell ref="D41:F41"/>
    <mergeCell ref="P14:R14"/>
    <mergeCell ref="P15:R15"/>
    <mergeCell ref="P18:U20"/>
    <mergeCell ref="P22:U24"/>
    <mergeCell ref="P8:R8"/>
    <mergeCell ref="P6:R6"/>
    <mergeCell ref="N5:R5"/>
    <mergeCell ref="P7:R7"/>
    <mergeCell ref="P11:R11"/>
    <mergeCell ref="P9:R9"/>
    <mergeCell ref="P10:R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outlinePr summaryBelow="0" summaryRight="0"/>
  </sheetPr>
  <dimension ref="A2:Z532"/>
  <sheetViews>
    <sheetView showGridLines="0" workbookViewId="0"/>
  </sheetViews>
  <sheetFormatPr defaultColWidth="17.27734375" defaultRowHeight="15" customHeight="1"/>
  <cols>
    <col min="1" max="1" width="7" customWidth="1"/>
    <col min="2" max="2" width="27.27734375" customWidth="1"/>
    <col min="3" max="3" width="7.83203125" customWidth="1"/>
    <col min="4" max="4" width="9.5546875" customWidth="1"/>
    <col min="5" max="5" width="8.5546875" customWidth="1"/>
    <col min="6" max="6" width="8.71875" customWidth="1"/>
    <col min="7" max="7" width="8.27734375" customWidth="1"/>
    <col min="8" max="8" width="8.44140625" customWidth="1"/>
    <col min="9" max="9" width="8" customWidth="1"/>
    <col min="10" max="10" width="9.5546875" customWidth="1"/>
    <col min="11" max="11" width="7.5546875" customWidth="1"/>
    <col min="12" max="12" width="7.83203125" customWidth="1"/>
    <col min="13" max="13" width="7.44140625" customWidth="1"/>
    <col min="14" max="14" width="26.27734375" customWidth="1"/>
    <col min="15" max="21" width="8" customWidth="1"/>
  </cols>
  <sheetData>
    <row r="2" spans="1:26" ht="12.3">
      <c r="B2" s="72" t="s">
        <v>659</v>
      </c>
      <c r="C2" s="73"/>
      <c r="D2" s="73"/>
      <c r="E2" s="73"/>
      <c r="F2" s="73"/>
      <c r="G2" s="73"/>
      <c r="H2" s="73"/>
      <c r="I2" s="73"/>
    </row>
    <row r="3" spans="1:26" ht="12.3">
      <c r="B3" s="72" t="s">
        <v>660</v>
      </c>
      <c r="C3" s="73"/>
      <c r="D3" s="73"/>
      <c r="E3" s="73"/>
      <c r="F3" s="73"/>
      <c r="G3" s="73"/>
      <c r="H3" s="73"/>
      <c r="I3" s="73"/>
    </row>
    <row r="4" spans="1:26" ht="12.3">
      <c r="B4" s="13"/>
      <c r="M4" s="13"/>
      <c r="N4" s="13"/>
    </row>
    <row r="5" spans="1:26" ht="12.3">
      <c r="B5" s="13" t="s">
        <v>661</v>
      </c>
    </row>
    <row r="6" spans="1:26" ht="36.9">
      <c r="A6" s="45"/>
      <c r="B6" s="74" t="str">
        <f>'Plant &amp; Fish Production'!F7</f>
        <v>Crops</v>
      </c>
      <c r="C6" s="75" t="str">
        <f>'Plant &amp; Fish Production'!G7</f>
        <v># of Raft Boards</v>
      </c>
      <c r="D6" s="75" t="str">
        <f>'Plant &amp; Fish Production'!H7</f>
        <v>% of DWC</v>
      </c>
      <c r="E6" s="75" t="str">
        <f>'Plant &amp; Fish Production'!I7</f>
        <v>Plants per raft</v>
      </c>
      <c r="F6" s="75" t="str">
        <f>'Plant &amp; Fish Production'!J7</f>
        <v>Plant Density per ft2</v>
      </c>
      <c r="G6" s="75" t="str">
        <f>'Plant &amp; Fish Production'!K7</f>
        <v>Total Plants</v>
      </c>
      <c r="H6" s="76" t="str">
        <f>'Plant &amp; Fish Production'!L7</f>
        <v>Culture Time (wks)</v>
      </c>
      <c r="I6" s="75" t="str">
        <f>'Plant &amp; Fish Production'!M7</f>
        <v>Total Plants</v>
      </c>
      <c r="J6" s="77" t="str">
        <f>'Plant &amp; Fish Production'!N7</f>
        <v>Loss Rate</v>
      </c>
      <c r="K6" s="77" t="str">
        <f>'Plant &amp; Fish Production'!O7</f>
        <v>Net Plants</v>
      </c>
      <c r="L6" s="45"/>
      <c r="M6" s="45"/>
      <c r="N6" s="45"/>
      <c r="T6" s="45"/>
      <c r="U6" s="45"/>
      <c r="V6" s="45"/>
      <c r="W6" s="45"/>
      <c r="X6" s="45"/>
      <c r="Y6" s="45"/>
      <c r="Z6" s="45"/>
    </row>
    <row r="7" spans="1:26" ht="12.3">
      <c r="B7" s="10" t="str">
        <f>'Plant &amp; Fish Production'!F8</f>
        <v>Romaine</v>
      </c>
      <c r="C7" s="19">
        <f>'Plant &amp; Fish Production'!G8</f>
        <v>50</v>
      </c>
      <c r="D7" s="47">
        <f>'Plant &amp; Fish Production'!H8</f>
        <v>0.3125</v>
      </c>
      <c r="E7" s="19">
        <f>'Plant &amp; Fish Production'!I8</f>
        <v>28</v>
      </c>
      <c r="F7" s="78">
        <f>'Plant &amp; Fish Production'!J8</f>
        <v>3.5</v>
      </c>
      <c r="G7" s="42">
        <f>'Plant &amp; Fish Production'!K8</f>
        <v>1400</v>
      </c>
      <c r="H7" s="78">
        <f>'Plant &amp; Fish Production'!L8</f>
        <v>5</v>
      </c>
      <c r="I7" s="42">
        <f>'Plant &amp; Fish Production'!M8</f>
        <v>7280</v>
      </c>
      <c r="J7" s="47">
        <f>'Plant &amp; Fish Production'!N8</f>
        <v>0.05</v>
      </c>
      <c r="K7" s="42">
        <f>'Plant &amp; Fish Production'!O8</f>
        <v>6916</v>
      </c>
      <c r="M7" s="45"/>
    </row>
    <row r="8" spans="1:26" ht="12.3">
      <c r="B8" s="10" t="str">
        <f>'Plant &amp; Fish Production'!F9</f>
        <v>Bibb Lettuce</v>
      </c>
      <c r="C8" s="19">
        <f>'Plant &amp; Fish Production'!G9</f>
        <v>50</v>
      </c>
      <c r="D8" s="47">
        <f>'Plant &amp; Fish Production'!H9</f>
        <v>0.3125</v>
      </c>
      <c r="E8" s="19">
        <f>'Plant &amp; Fish Production'!I9</f>
        <v>20</v>
      </c>
      <c r="F8" s="78">
        <f>'Plant &amp; Fish Production'!J9</f>
        <v>2.5</v>
      </c>
      <c r="G8" s="42">
        <f>'Plant &amp; Fish Production'!K9</f>
        <v>1000</v>
      </c>
      <c r="H8" s="78">
        <f>'Plant &amp; Fish Production'!L9</f>
        <v>5</v>
      </c>
      <c r="I8" s="42">
        <f>'Plant &amp; Fish Production'!M9</f>
        <v>5200</v>
      </c>
      <c r="J8" s="47">
        <f>'Plant &amp; Fish Production'!N9</f>
        <v>0.05</v>
      </c>
      <c r="K8" s="42">
        <f>'Plant &amp; Fish Production'!O9</f>
        <v>4940</v>
      </c>
      <c r="M8" s="45"/>
    </row>
    <row r="9" spans="1:26" ht="12.3">
      <c r="B9" s="10" t="str">
        <f>'Plant &amp; Fish Production'!F10</f>
        <v>Green Star</v>
      </c>
      <c r="C9" s="19">
        <f>'Plant &amp; Fish Production'!G10</f>
        <v>20</v>
      </c>
      <c r="D9" s="47">
        <f>'Plant &amp; Fish Production'!H10</f>
        <v>0.125</v>
      </c>
      <c r="E9" s="19">
        <f>'Plant &amp; Fish Production'!I10</f>
        <v>24</v>
      </c>
      <c r="F9" s="78">
        <f>'Plant &amp; Fish Production'!J10</f>
        <v>3</v>
      </c>
      <c r="G9" s="42">
        <f>'Plant &amp; Fish Production'!K10</f>
        <v>480</v>
      </c>
      <c r="H9" s="78">
        <f>'Plant &amp; Fish Production'!L10</f>
        <v>4.5</v>
      </c>
      <c r="I9" s="42">
        <f>'Plant &amp; Fish Production'!M10</f>
        <v>2773.3333333333335</v>
      </c>
      <c r="J9" s="47">
        <f>'Plant &amp; Fish Production'!N10</f>
        <v>0.05</v>
      </c>
      <c r="K9" s="42">
        <f>'Plant &amp; Fish Production'!O10</f>
        <v>2634.6666666666665</v>
      </c>
      <c r="M9" s="45"/>
    </row>
    <row r="10" spans="1:26" ht="12.3">
      <c r="B10" s="10" t="str">
        <f>'Plant &amp; Fish Production'!F11</f>
        <v>Mustard Greens</v>
      </c>
      <c r="C10" s="19">
        <f>'Plant &amp; Fish Production'!G11</f>
        <v>20</v>
      </c>
      <c r="D10" s="47">
        <f>'Plant &amp; Fish Production'!H11</f>
        <v>0.125</v>
      </c>
      <c r="E10" s="19">
        <f>'Plant &amp; Fish Production'!I11</f>
        <v>24</v>
      </c>
      <c r="F10" s="78">
        <f>'Plant &amp; Fish Production'!J11</f>
        <v>3</v>
      </c>
      <c r="G10" s="42">
        <f>'Plant &amp; Fish Production'!K11</f>
        <v>480</v>
      </c>
      <c r="H10" s="78">
        <f>'Plant &amp; Fish Production'!L11</f>
        <v>4</v>
      </c>
      <c r="I10" s="42">
        <f>'Plant &amp; Fish Production'!M11</f>
        <v>3120</v>
      </c>
      <c r="J10" s="47">
        <f>'Plant &amp; Fish Production'!N11</f>
        <v>0.05</v>
      </c>
      <c r="K10" s="42">
        <f>'Plant &amp; Fish Production'!O11</f>
        <v>2964</v>
      </c>
      <c r="M10" s="45"/>
    </row>
    <row r="11" spans="1:26" ht="12.3">
      <c r="B11" s="10" t="str">
        <f>'Plant &amp; Fish Production'!F12</f>
        <v>Basil</v>
      </c>
      <c r="C11" s="19">
        <f>'Plant &amp; Fish Production'!G12</f>
        <v>20</v>
      </c>
      <c r="D11" s="47">
        <f>'Plant &amp; Fish Production'!H12</f>
        <v>0.125</v>
      </c>
      <c r="E11" s="19">
        <f>'Plant &amp; Fish Production'!I12</f>
        <v>24</v>
      </c>
      <c r="F11" s="78">
        <f>'Plant &amp; Fish Production'!J12</f>
        <v>3</v>
      </c>
      <c r="G11" s="42">
        <f>'Plant &amp; Fish Production'!K12</f>
        <v>480</v>
      </c>
      <c r="H11" s="78">
        <f>'Plant &amp; Fish Production'!L12</f>
        <v>5</v>
      </c>
      <c r="I11" s="42">
        <f>'Plant &amp; Fish Production'!M12</f>
        <v>2496</v>
      </c>
      <c r="J11" s="47">
        <f>'Plant &amp; Fish Production'!N12</f>
        <v>0.05</v>
      </c>
      <c r="K11" s="42">
        <f>'Plant &amp; Fish Production'!O12</f>
        <v>2371.1999999999998</v>
      </c>
      <c r="M11" s="45"/>
    </row>
    <row r="12" spans="1:26" ht="12.3" hidden="1">
      <c r="B12" s="10">
        <f>'Plant &amp; Fish Production'!F13</f>
        <v>0</v>
      </c>
      <c r="C12" s="19">
        <f>'Plant &amp; Fish Production'!G13</f>
        <v>0</v>
      </c>
      <c r="D12" s="47" t="str">
        <f>'Plant &amp; Fish Production'!H13</f>
        <v/>
      </c>
      <c r="E12" s="19">
        <f>'Plant &amp; Fish Production'!I13</f>
        <v>0</v>
      </c>
      <c r="F12" s="78" t="str">
        <f>'Plant &amp; Fish Production'!J13</f>
        <v/>
      </c>
      <c r="G12" s="42" t="str">
        <f>'Plant &amp; Fish Production'!K13</f>
        <v/>
      </c>
      <c r="H12" s="78">
        <f>'Plant &amp; Fish Production'!L13</f>
        <v>0</v>
      </c>
      <c r="I12" s="42" t="str">
        <f>'Plant &amp; Fish Production'!M13</f>
        <v/>
      </c>
      <c r="J12" s="47">
        <f>'Plant &amp; Fish Production'!N13</f>
        <v>0</v>
      </c>
      <c r="K12" s="42" t="str">
        <f>'Plant &amp; Fish Production'!O13</f>
        <v/>
      </c>
      <c r="M12" s="45"/>
    </row>
    <row r="13" spans="1:26" ht="12.3" hidden="1">
      <c r="B13" s="10">
        <f>'Plant &amp; Fish Production'!F14</f>
        <v>0</v>
      </c>
      <c r="C13" s="19">
        <f>'Plant &amp; Fish Production'!G14</f>
        <v>0</v>
      </c>
      <c r="D13" s="47" t="str">
        <f>'Plant &amp; Fish Production'!H14</f>
        <v/>
      </c>
      <c r="E13" s="19">
        <f>'Plant &amp; Fish Production'!I14</f>
        <v>0</v>
      </c>
      <c r="F13" s="78" t="str">
        <f>'Plant &amp; Fish Production'!J14</f>
        <v/>
      </c>
      <c r="G13" s="42" t="str">
        <f>'Plant &amp; Fish Production'!K14</f>
        <v/>
      </c>
      <c r="H13" s="78">
        <f>'Plant &amp; Fish Production'!L14</f>
        <v>0</v>
      </c>
      <c r="I13" s="42" t="str">
        <f>'Plant &amp; Fish Production'!M14</f>
        <v/>
      </c>
      <c r="J13" s="47">
        <f>'Plant &amp; Fish Production'!N14</f>
        <v>0</v>
      </c>
      <c r="K13" s="42" t="str">
        <f>'Plant &amp; Fish Production'!O14</f>
        <v/>
      </c>
      <c r="M13" s="45"/>
    </row>
    <row r="14" spans="1:26" ht="12.3" hidden="1">
      <c r="B14" s="10">
        <f>'Plant &amp; Fish Production'!F15</f>
        <v>0</v>
      </c>
      <c r="C14" s="19">
        <f>'Plant &amp; Fish Production'!G15</f>
        <v>0</v>
      </c>
      <c r="D14" s="47" t="str">
        <f>'Plant &amp; Fish Production'!H15</f>
        <v/>
      </c>
      <c r="E14" s="19">
        <f>'Plant &amp; Fish Production'!I15</f>
        <v>0</v>
      </c>
      <c r="F14" s="78" t="str">
        <f>'Plant &amp; Fish Production'!J15</f>
        <v/>
      </c>
      <c r="G14" s="42" t="str">
        <f>'Plant &amp; Fish Production'!K15</f>
        <v/>
      </c>
      <c r="H14" s="78">
        <f>'Plant &amp; Fish Production'!L15</f>
        <v>0</v>
      </c>
      <c r="I14" s="42" t="str">
        <f>'Plant &amp; Fish Production'!M15</f>
        <v/>
      </c>
      <c r="J14" s="47">
        <f>'Plant &amp; Fish Production'!N15</f>
        <v>0</v>
      </c>
      <c r="K14" s="42" t="str">
        <f>'Plant &amp; Fish Production'!O15</f>
        <v/>
      </c>
      <c r="M14" s="45"/>
    </row>
    <row r="15" spans="1:26" ht="12.3" hidden="1">
      <c r="B15" s="10">
        <f>'Plant &amp; Fish Production'!F16</f>
        <v>0</v>
      </c>
      <c r="C15" s="19">
        <f>'Plant &amp; Fish Production'!G16</f>
        <v>0</v>
      </c>
      <c r="D15" s="47" t="str">
        <f>'Plant &amp; Fish Production'!H16</f>
        <v/>
      </c>
      <c r="E15" s="19">
        <f>'Plant &amp; Fish Production'!I16</f>
        <v>0</v>
      </c>
      <c r="F15" s="78" t="str">
        <f>'Plant &amp; Fish Production'!J16</f>
        <v/>
      </c>
      <c r="G15" s="42" t="str">
        <f>'Plant &amp; Fish Production'!K16</f>
        <v/>
      </c>
      <c r="H15" s="78">
        <f>'Plant &amp; Fish Production'!L16</f>
        <v>0</v>
      </c>
      <c r="I15" s="42" t="str">
        <f>'Plant &amp; Fish Production'!M16</f>
        <v/>
      </c>
      <c r="J15" s="47">
        <f>'Plant &amp; Fish Production'!N16</f>
        <v>0</v>
      </c>
      <c r="K15" s="42" t="str">
        <f>'Plant &amp; Fish Production'!O16</f>
        <v/>
      </c>
      <c r="M15" s="45"/>
    </row>
    <row r="16" spans="1:26" ht="12.3" hidden="1">
      <c r="B16" s="10">
        <f>'Plant &amp; Fish Production'!F17</f>
        <v>0</v>
      </c>
      <c r="C16" s="19">
        <f>'Plant &amp; Fish Production'!G17</f>
        <v>0</v>
      </c>
      <c r="D16" s="47" t="str">
        <f>'Plant &amp; Fish Production'!H17</f>
        <v/>
      </c>
      <c r="E16" s="19">
        <f>'Plant &amp; Fish Production'!I17</f>
        <v>0</v>
      </c>
      <c r="F16" s="78" t="str">
        <f>'Plant &amp; Fish Production'!J17</f>
        <v/>
      </c>
      <c r="G16" s="42" t="str">
        <f>'Plant &amp; Fish Production'!K17</f>
        <v/>
      </c>
      <c r="H16" s="78">
        <f>'Plant &amp; Fish Production'!L17</f>
        <v>0</v>
      </c>
      <c r="I16" s="42" t="str">
        <f>'Plant &amp; Fish Production'!M17</f>
        <v/>
      </c>
      <c r="J16" s="47">
        <f>'Plant &amp; Fish Production'!N17</f>
        <v>0</v>
      </c>
      <c r="K16" s="42" t="str">
        <f>'Plant &amp; Fish Production'!O17</f>
        <v/>
      </c>
      <c r="M16" s="45"/>
    </row>
    <row r="17" spans="2:13" ht="12.3" hidden="1">
      <c r="B17" s="10">
        <f>'Plant &amp; Fish Production'!F18</f>
        <v>0</v>
      </c>
      <c r="C17" s="19">
        <f>'Plant &amp; Fish Production'!G18</f>
        <v>0</v>
      </c>
      <c r="D17" s="47" t="str">
        <f>'Plant &amp; Fish Production'!H18</f>
        <v/>
      </c>
      <c r="E17" s="19">
        <f>'Plant &amp; Fish Production'!I18</f>
        <v>0</v>
      </c>
      <c r="F17" s="78" t="str">
        <f>'Plant &amp; Fish Production'!J18</f>
        <v/>
      </c>
      <c r="G17" s="42" t="str">
        <f>'Plant &amp; Fish Production'!K18</f>
        <v/>
      </c>
      <c r="H17" s="78">
        <f>'Plant &amp; Fish Production'!L18</f>
        <v>0</v>
      </c>
      <c r="I17" s="42" t="str">
        <f>'Plant &amp; Fish Production'!M18</f>
        <v/>
      </c>
      <c r="J17" s="47">
        <f>'Plant &amp; Fish Production'!N18</f>
        <v>0</v>
      </c>
      <c r="K17" s="42" t="str">
        <f>'Plant &amp; Fish Production'!O18</f>
        <v/>
      </c>
      <c r="M17" s="45"/>
    </row>
    <row r="18" spans="2:13" ht="12.3" hidden="1">
      <c r="B18" s="10">
        <f>'Plant &amp; Fish Production'!F19</f>
        <v>0</v>
      </c>
      <c r="C18" s="19">
        <f>'Plant &amp; Fish Production'!G19</f>
        <v>0</v>
      </c>
      <c r="D18" s="47" t="str">
        <f>'Plant &amp; Fish Production'!H19</f>
        <v/>
      </c>
      <c r="E18" s="19">
        <f>'Plant &amp; Fish Production'!I19</f>
        <v>0</v>
      </c>
      <c r="F18" s="78" t="str">
        <f>'Plant &amp; Fish Production'!J19</f>
        <v/>
      </c>
      <c r="G18" s="42" t="str">
        <f>'Plant &amp; Fish Production'!K19</f>
        <v/>
      </c>
      <c r="H18" s="78">
        <f>'Plant &amp; Fish Production'!L19</f>
        <v>0</v>
      </c>
      <c r="I18" s="42" t="str">
        <f>'Plant &amp; Fish Production'!M19</f>
        <v/>
      </c>
      <c r="J18" s="47">
        <f>'Plant &amp; Fish Production'!N19</f>
        <v>0</v>
      </c>
      <c r="K18" s="42" t="str">
        <f>'Plant &amp; Fish Production'!O19</f>
        <v/>
      </c>
      <c r="M18" s="45"/>
    </row>
    <row r="19" spans="2:13" ht="12.3" hidden="1">
      <c r="B19" s="10">
        <f>'Plant &amp; Fish Production'!F20</f>
        <v>0</v>
      </c>
      <c r="C19" s="19">
        <f>'Plant &amp; Fish Production'!G20</f>
        <v>0</v>
      </c>
      <c r="D19" s="47" t="str">
        <f>'Plant &amp; Fish Production'!H20</f>
        <v/>
      </c>
      <c r="E19" s="19">
        <f>'Plant &amp; Fish Production'!I20</f>
        <v>0</v>
      </c>
      <c r="F19" s="78" t="str">
        <f>'Plant &amp; Fish Production'!J20</f>
        <v/>
      </c>
      <c r="G19" s="42" t="str">
        <f>'Plant &amp; Fish Production'!K20</f>
        <v/>
      </c>
      <c r="H19" s="78">
        <f>'Plant &amp; Fish Production'!L20</f>
        <v>0</v>
      </c>
      <c r="I19" s="42" t="str">
        <f>'Plant &amp; Fish Production'!M20</f>
        <v/>
      </c>
      <c r="J19" s="47">
        <f>'Plant &amp; Fish Production'!N20</f>
        <v>0</v>
      </c>
      <c r="K19" s="42" t="str">
        <f>'Plant &amp; Fish Production'!O20</f>
        <v/>
      </c>
      <c r="M19" s="45"/>
    </row>
    <row r="20" spans="2:13" ht="12.3" hidden="1">
      <c r="B20" s="10">
        <f>'Plant &amp; Fish Production'!F21</f>
        <v>0</v>
      </c>
      <c r="C20" s="19">
        <f>'Plant &amp; Fish Production'!G21</f>
        <v>0</v>
      </c>
      <c r="D20" s="47" t="str">
        <f>'Plant &amp; Fish Production'!H21</f>
        <v/>
      </c>
      <c r="E20" s="19">
        <f>'Plant &amp; Fish Production'!I21</f>
        <v>0</v>
      </c>
      <c r="F20" s="78" t="str">
        <f>'Plant &amp; Fish Production'!J21</f>
        <v/>
      </c>
      <c r="G20" s="42" t="str">
        <f>'Plant &amp; Fish Production'!K21</f>
        <v/>
      </c>
      <c r="H20" s="78">
        <f>'Plant &amp; Fish Production'!L21</f>
        <v>0</v>
      </c>
      <c r="I20" s="42" t="str">
        <f>'Plant &amp; Fish Production'!M21</f>
        <v/>
      </c>
      <c r="J20" s="47">
        <f>'Plant &amp; Fish Production'!N21</f>
        <v>0</v>
      </c>
      <c r="K20" s="42" t="str">
        <f>'Plant &amp; Fish Production'!O21</f>
        <v/>
      </c>
      <c r="M20" s="45"/>
    </row>
    <row r="21" spans="2:13" ht="12.3">
      <c r="B21" s="68" t="str">
        <f>'Plant &amp; Fish Production'!F22</f>
        <v xml:space="preserve">Total Raft Boards </v>
      </c>
      <c r="C21" s="70">
        <f>'Plant &amp; Fish Production'!G22</f>
        <v>160</v>
      </c>
      <c r="D21" s="70">
        <f>'Plant &amp; Fish Production'!H22</f>
        <v>0</v>
      </c>
      <c r="E21" s="70">
        <f>'Plant &amp; Fish Production'!I22</f>
        <v>0</v>
      </c>
      <c r="F21" s="70">
        <f>'Plant &amp; Fish Production'!J22</f>
        <v>0</v>
      </c>
      <c r="G21" s="38">
        <f>'Plant &amp; Fish Production'!K22</f>
        <v>3840</v>
      </c>
      <c r="H21" s="79">
        <f>'Plant &amp; Fish Production'!L22</f>
        <v>4.7</v>
      </c>
      <c r="I21" s="38">
        <f>'Plant &amp; Fish Production'!M22</f>
        <v>20869.333333333336</v>
      </c>
      <c r="J21" s="70">
        <f>'Plant &amp; Fish Production'!N22</f>
        <v>0</v>
      </c>
      <c r="K21" s="38">
        <f>'Plant &amp; Fish Production'!O22</f>
        <v>19825.866666666665</v>
      </c>
      <c r="M21" s="45"/>
    </row>
    <row r="22" spans="2:13" ht="12.3">
      <c r="B22" s="13"/>
      <c r="M22" s="45"/>
    </row>
    <row r="23" spans="2:13" ht="12.3">
      <c r="B23" s="13" t="s">
        <v>662</v>
      </c>
      <c r="M23" s="45"/>
    </row>
    <row r="24" spans="2:13" ht="12.3">
      <c r="B24" s="80" t="str">
        <f>'REV &amp; COGS'!A16</f>
        <v>Crops</v>
      </c>
      <c r="C24" s="80" t="str">
        <f>'REV &amp; COGS'!K16</f>
        <v>Product Sold by</v>
      </c>
      <c r="D24" s="80" t="str">
        <f>'REV &amp; COGS'!L16</f>
        <v>Packaging Type</v>
      </c>
      <c r="E24" s="81" t="str">
        <f>'REV &amp; COGS'!O16</f>
        <v>Units Sold</v>
      </c>
      <c r="F24" s="81" t="str">
        <f>'REV &amp; COGS'!Q16</f>
        <v>Sale $ per unit</v>
      </c>
      <c r="G24" s="81" t="str">
        <f>'REV &amp; COGS'!R16</f>
        <v>Apr - Sep Rev</v>
      </c>
      <c r="H24" s="81" t="str">
        <f>'REV &amp; COGS'!S16</f>
        <v>Avg mth</v>
      </c>
      <c r="M24" s="45"/>
    </row>
    <row r="25" spans="2:13" ht="12.3">
      <c r="B25" s="82" t="str">
        <f>'REV &amp; COGS'!A17</f>
        <v>Romaine</v>
      </c>
      <c r="C25" s="83" t="str">
        <f>'REV &amp; COGS'!K17</f>
        <v>24 ct case</v>
      </c>
      <c r="D25" s="83" t="str">
        <f>'REV &amp; COGS'!L17</f>
        <v>box liner 24 ct</v>
      </c>
      <c r="E25" s="16">
        <f>'REV &amp; COGS'!O17</f>
        <v>288.16666666666669</v>
      </c>
      <c r="F25" s="44">
        <f>'REV &amp; COGS'!Q17</f>
        <v>54</v>
      </c>
      <c r="G25" s="11">
        <f>'REV &amp; COGS'!R17</f>
        <v>15561.000000000002</v>
      </c>
      <c r="H25" s="11">
        <f>'REV &amp; COGS'!S17</f>
        <v>2593.5000000000005</v>
      </c>
      <c r="M25" s="45"/>
    </row>
    <row r="26" spans="2:13" ht="12.3">
      <c r="B26" s="82" t="str">
        <f>'REV &amp; COGS'!A18</f>
        <v>Bibb Lettuce</v>
      </c>
      <c r="C26" s="83">
        <f>'REV &amp; COGS'!K18</f>
        <v>0</v>
      </c>
      <c r="D26" s="83">
        <f>'REV &amp; COGS'!L18</f>
        <v>0</v>
      </c>
      <c r="E26" s="16" t="str">
        <f>'REV &amp; COGS'!O18</f>
        <v/>
      </c>
      <c r="F26" s="44">
        <f>'REV &amp; COGS'!Q18</f>
        <v>0</v>
      </c>
      <c r="G26" s="11" t="str">
        <f>'REV &amp; COGS'!R18</f>
        <v/>
      </c>
      <c r="H26" s="11" t="str">
        <f>'REV &amp; COGS'!S18</f>
        <v/>
      </c>
      <c r="M26" s="45"/>
    </row>
    <row r="27" spans="2:13" ht="12.3">
      <c r="B27" s="82" t="str">
        <f>'REV &amp; COGS'!A19</f>
        <v>Green Star</v>
      </c>
      <c r="C27" s="83">
        <f>'REV &amp; COGS'!K19</f>
        <v>0</v>
      </c>
      <c r="D27" s="83">
        <f>'REV &amp; COGS'!L19</f>
        <v>0</v>
      </c>
      <c r="E27" s="16" t="str">
        <f>'REV &amp; COGS'!O19</f>
        <v/>
      </c>
      <c r="F27" s="44">
        <f>'REV &amp; COGS'!Q19</f>
        <v>0</v>
      </c>
      <c r="G27" s="11" t="str">
        <f>'REV &amp; COGS'!R19</f>
        <v/>
      </c>
      <c r="H27" s="11" t="str">
        <f>'REV &amp; COGS'!S19</f>
        <v/>
      </c>
      <c r="M27" s="45"/>
    </row>
    <row r="28" spans="2:13" ht="12.3">
      <c r="B28" s="82" t="str">
        <f>'REV &amp; COGS'!A20</f>
        <v>Mustard Greens</v>
      </c>
      <c r="C28" s="83">
        <f>'REV &amp; COGS'!K20</f>
        <v>0</v>
      </c>
      <c r="D28" s="83">
        <f>'REV &amp; COGS'!L20</f>
        <v>0</v>
      </c>
      <c r="E28" s="16" t="str">
        <f>'REV &amp; COGS'!O20</f>
        <v/>
      </c>
      <c r="F28" s="44">
        <f>'REV &amp; COGS'!Q20</f>
        <v>0</v>
      </c>
      <c r="G28" s="11" t="str">
        <f>'REV &amp; COGS'!R20</f>
        <v/>
      </c>
      <c r="H28" s="11" t="str">
        <f>'REV &amp; COGS'!S20</f>
        <v/>
      </c>
      <c r="M28" s="45"/>
    </row>
    <row r="29" spans="2:13" ht="12.3">
      <c r="B29" s="82" t="str">
        <f>'REV &amp; COGS'!A21</f>
        <v>Basil</v>
      </c>
      <c r="C29" s="83">
        <f>'REV &amp; COGS'!K21</f>
        <v>0</v>
      </c>
      <c r="D29" s="83">
        <f>'REV &amp; COGS'!L21</f>
        <v>0</v>
      </c>
      <c r="E29" s="16" t="str">
        <f>'REV &amp; COGS'!O21</f>
        <v/>
      </c>
      <c r="F29" s="44">
        <f>'REV &amp; COGS'!Q21</f>
        <v>0</v>
      </c>
      <c r="G29" s="11" t="str">
        <f>'REV &amp; COGS'!R21</f>
        <v/>
      </c>
      <c r="H29" s="11" t="str">
        <f>'REV &amp; COGS'!S21</f>
        <v/>
      </c>
      <c r="M29" s="45"/>
    </row>
    <row r="30" spans="2:13" ht="12.3" hidden="1">
      <c r="B30" s="82" t="str">
        <f>'REV &amp; COGS'!A22</f>
        <v/>
      </c>
      <c r="C30" s="83">
        <f>'REV &amp; COGS'!K22</f>
        <v>0</v>
      </c>
      <c r="D30" s="83">
        <f>'REV &amp; COGS'!L22</f>
        <v>0</v>
      </c>
      <c r="E30" s="16" t="str">
        <f>'REV &amp; COGS'!O22</f>
        <v/>
      </c>
      <c r="F30" s="11">
        <f>'REV &amp; COGS'!Q22</f>
        <v>0</v>
      </c>
      <c r="G30" s="11" t="str">
        <f>'REV &amp; COGS'!R22</f>
        <v/>
      </c>
      <c r="H30" s="11" t="str">
        <f>'REV &amp; COGS'!S22</f>
        <v/>
      </c>
      <c r="M30" s="45"/>
    </row>
    <row r="31" spans="2:13" ht="12.3" hidden="1">
      <c r="B31" s="82" t="str">
        <f>'REV &amp; COGS'!A23</f>
        <v/>
      </c>
      <c r="C31" s="83">
        <f>'REV &amp; COGS'!K23</f>
        <v>0</v>
      </c>
      <c r="D31" s="83">
        <f>'REV &amp; COGS'!L23</f>
        <v>0</v>
      </c>
      <c r="E31" s="16" t="str">
        <f>'REV &amp; COGS'!O23</f>
        <v/>
      </c>
      <c r="F31" s="11">
        <f>'REV &amp; COGS'!Q23</f>
        <v>0</v>
      </c>
      <c r="G31" s="11" t="str">
        <f>'REV &amp; COGS'!R23</f>
        <v/>
      </c>
      <c r="H31" s="11" t="str">
        <f>'REV &amp; COGS'!S23</f>
        <v/>
      </c>
      <c r="M31" s="45"/>
    </row>
    <row r="32" spans="2:13" ht="12.3" hidden="1">
      <c r="B32" s="82" t="str">
        <f>'REV &amp; COGS'!A24</f>
        <v/>
      </c>
      <c r="C32" s="83">
        <f>'REV &amp; COGS'!K24</f>
        <v>0</v>
      </c>
      <c r="D32" s="83">
        <f>'REV &amp; COGS'!L24</f>
        <v>0</v>
      </c>
      <c r="E32" s="16" t="str">
        <f>'REV &amp; COGS'!O24</f>
        <v/>
      </c>
      <c r="F32" s="11">
        <f>'REV &amp; COGS'!Q24</f>
        <v>0</v>
      </c>
      <c r="G32" s="11" t="str">
        <f>'REV &amp; COGS'!R24</f>
        <v/>
      </c>
      <c r="H32" s="11" t="str">
        <f>'REV &amp; COGS'!S24</f>
        <v/>
      </c>
      <c r="M32" s="45"/>
    </row>
    <row r="33" spans="1:26" ht="12.3" hidden="1">
      <c r="B33" s="82" t="str">
        <f>'REV &amp; COGS'!A25</f>
        <v/>
      </c>
      <c r="C33" s="83">
        <f>'REV &amp; COGS'!K25</f>
        <v>0</v>
      </c>
      <c r="D33" s="83">
        <f>'REV &amp; COGS'!L25</f>
        <v>0</v>
      </c>
      <c r="E33" s="16" t="str">
        <f>'REV &amp; COGS'!O25</f>
        <v/>
      </c>
      <c r="F33" s="11">
        <f>'REV &amp; COGS'!Q25</f>
        <v>0</v>
      </c>
      <c r="G33" s="11" t="str">
        <f>'REV &amp; COGS'!R25</f>
        <v/>
      </c>
      <c r="H33" s="11" t="str">
        <f>'REV &amp; COGS'!S25</f>
        <v/>
      </c>
      <c r="M33" s="45"/>
    </row>
    <row r="34" spans="1:26" ht="12.3" hidden="1">
      <c r="B34" s="82" t="str">
        <f>'REV &amp; COGS'!A26</f>
        <v/>
      </c>
      <c r="C34" s="83">
        <f>'REV &amp; COGS'!K26</f>
        <v>0</v>
      </c>
      <c r="D34" s="83">
        <f>'REV &amp; COGS'!L26</f>
        <v>0</v>
      </c>
      <c r="E34" s="16" t="str">
        <f>'REV &amp; COGS'!O26</f>
        <v/>
      </c>
      <c r="F34" s="11">
        <f>'REV &amp; COGS'!Q26</f>
        <v>0</v>
      </c>
      <c r="G34" s="11" t="str">
        <f>'REV &amp; COGS'!R26</f>
        <v/>
      </c>
      <c r="H34" s="11" t="str">
        <f>'REV &amp; COGS'!S26</f>
        <v/>
      </c>
      <c r="M34" s="45"/>
    </row>
    <row r="35" spans="1:26" ht="12.3" hidden="1">
      <c r="B35" s="82" t="str">
        <f>'REV &amp; COGS'!A27</f>
        <v/>
      </c>
      <c r="C35" s="83">
        <f>'REV &amp; COGS'!K27</f>
        <v>0</v>
      </c>
      <c r="D35" s="83">
        <f>'REV &amp; COGS'!L27</f>
        <v>0</v>
      </c>
      <c r="E35" s="16" t="str">
        <f>'REV &amp; COGS'!O27</f>
        <v/>
      </c>
      <c r="F35" s="11">
        <f>'REV &amp; COGS'!Q27</f>
        <v>0</v>
      </c>
      <c r="G35" s="11" t="str">
        <f>'REV &amp; COGS'!R27</f>
        <v/>
      </c>
      <c r="H35" s="11" t="str">
        <f>'REV &amp; COGS'!S27</f>
        <v/>
      </c>
      <c r="M35" s="45"/>
    </row>
    <row r="36" spans="1:26" ht="12.3" hidden="1">
      <c r="B36" s="82" t="str">
        <f>'REV &amp; COGS'!A28</f>
        <v/>
      </c>
      <c r="C36" s="83">
        <f>'REV &amp; COGS'!K28</f>
        <v>0</v>
      </c>
      <c r="D36" s="83">
        <f>'REV &amp; COGS'!L28</f>
        <v>0</v>
      </c>
      <c r="E36" s="16" t="str">
        <f>'REV &amp; COGS'!O28</f>
        <v/>
      </c>
      <c r="F36" s="11">
        <f>'REV &amp; COGS'!Q28</f>
        <v>0</v>
      </c>
      <c r="G36" s="11" t="str">
        <f>'REV &amp; COGS'!R28</f>
        <v/>
      </c>
      <c r="H36" s="11" t="str">
        <f>'REV &amp; COGS'!S28</f>
        <v/>
      </c>
      <c r="M36" s="45"/>
    </row>
    <row r="37" spans="1:26" ht="12.3" hidden="1">
      <c r="B37" s="82" t="str">
        <f>'REV &amp; COGS'!A29</f>
        <v/>
      </c>
      <c r="C37" s="83">
        <f>'REV &amp; COGS'!K29</f>
        <v>0</v>
      </c>
      <c r="D37" s="83">
        <f>'REV &amp; COGS'!L29</f>
        <v>0</v>
      </c>
      <c r="E37" s="16" t="str">
        <f>'REV &amp; COGS'!O29</f>
        <v/>
      </c>
      <c r="F37" s="11">
        <f>'REV &amp; COGS'!Q29</f>
        <v>0</v>
      </c>
      <c r="G37" s="11" t="str">
        <f>'REV &amp; COGS'!R29</f>
        <v/>
      </c>
      <c r="H37" s="11" t="str">
        <f>'REV &amp; COGS'!S29</f>
        <v/>
      </c>
      <c r="M37" s="45"/>
    </row>
    <row r="38" spans="1:26" ht="12.3" hidden="1">
      <c r="B38" s="82" t="str">
        <f>'REV &amp; COGS'!A30</f>
        <v/>
      </c>
      <c r="C38" s="83">
        <f>'REV &amp; COGS'!K30</f>
        <v>0</v>
      </c>
      <c r="D38" s="83">
        <f>'REV &amp; COGS'!L30</f>
        <v>0</v>
      </c>
      <c r="E38" s="16" t="str">
        <f>'REV &amp; COGS'!O30</f>
        <v/>
      </c>
      <c r="F38" s="11">
        <f>'REV &amp; COGS'!Q30</f>
        <v>0</v>
      </c>
      <c r="G38" s="11" t="str">
        <f>'REV &amp; COGS'!R30</f>
        <v/>
      </c>
      <c r="H38" s="11" t="str">
        <f>'REV &amp; COGS'!S30</f>
        <v/>
      </c>
      <c r="M38" s="45"/>
    </row>
    <row r="39" spans="1:26" ht="12.3">
      <c r="B39" s="84" t="str">
        <f>'REV &amp; COGS'!A31</f>
        <v>Totals</v>
      </c>
      <c r="C39" s="84">
        <f>'REV &amp; COGS'!K31</f>
        <v>0</v>
      </c>
      <c r="D39" s="84">
        <f>'REV &amp; COGS'!L31</f>
        <v>0</v>
      </c>
      <c r="E39" s="85">
        <f>'REV &amp; COGS'!O31</f>
        <v>288.16666666666669</v>
      </c>
      <c r="F39" s="86">
        <f>'REV &amp; COGS'!Q31</f>
        <v>0</v>
      </c>
      <c r="G39" s="86">
        <f>'REV &amp; COGS'!R31</f>
        <v>15561.000000000002</v>
      </c>
      <c r="H39" s="86">
        <f>'REV &amp; COGS'!S31</f>
        <v>2593.5000000000005</v>
      </c>
      <c r="M39" s="45"/>
    </row>
    <row r="40" spans="1:26" ht="12.3">
      <c r="B40" s="22"/>
      <c r="M40" s="45"/>
    </row>
    <row r="41" spans="1:26" ht="12.3">
      <c r="B41" s="22" t="s">
        <v>663</v>
      </c>
      <c r="M41" s="45"/>
    </row>
    <row r="42" spans="1:26" ht="36.9">
      <c r="A42" s="45"/>
      <c r="B42" s="87" t="str">
        <f>'REV &amp; COGS'!A16</f>
        <v>Crops</v>
      </c>
      <c r="C42" s="88" t="str">
        <f>'REV &amp; COGS'!B16</f>
        <v>Seed cost per plant</v>
      </c>
      <c r="D42" s="88" t="str">
        <f>'REV &amp; COGS'!C16</f>
        <v>Cost per starter plug</v>
      </c>
      <c r="E42" s="88" t="str">
        <f>'REV &amp; COGS'!D16</f>
        <v>Seeding Cost per plant</v>
      </c>
      <c r="F42" s="88" t="str">
        <f>'REV &amp; COGS'!E16</f>
        <v>Plants sewn</v>
      </c>
      <c r="G42" s="88" t="str">
        <f>'REV &amp; COGS'!F16</f>
        <v>Total Cost Plants</v>
      </c>
      <c r="H42" s="88" t="str">
        <f>'REV &amp; COGS'!G16</f>
        <v xml:space="preserve">Loss rate </v>
      </c>
      <c r="I42" s="88" t="str">
        <f>'REV &amp; COGS'!H16</f>
        <v>Sellable plants</v>
      </c>
      <c r="J42" s="40"/>
      <c r="K42" s="40"/>
      <c r="L42" s="45"/>
      <c r="M42" s="45"/>
      <c r="N42" s="45"/>
      <c r="O42" s="45"/>
      <c r="P42" s="45"/>
      <c r="Q42" s="45"/>
      <c r="R42" s="45"/>
      <c r="S42" s="45"/>
      <c r="T42" s="45"/>
      <c r="U42" s="45"/>
      <c r="V42" s="45"/>
      <c r="W42" s="45"/>
      <c r="X42" s="45"/>
      <c r="Y42" s="45"/>
      <c r="Z42" s="45"/>
    </row>
    <row r="43" spans="1:26" ht="12.3">
      <c r="B43" s="18" t="str">
        <f>'REV &amp; COGS'!A17</f>
        <v>Romaine</v>
      </c>
      <c r="C43" s="89">
        <f>'REV &amp; COGS'!B17</f>
        <v>0.01</v>
      </c>
      <c r="D43" s="89">
        <f>'REV &amp; COGS'!C17</f>
        <v>0.06</v>
      </c>
      <c r="E43" s="89">
        <f>'REV &amp; COGS'!D17</f>
        <v>6.9999999999999993E-2</v>
      </c>
      <c r="F43" s="90">
        <f>'REV &amp; COGS'!E17</f>
        <v>7280</v>
      </c>
      <c r="G43" s="91">
        <f>'REV &amp; COGS'!F17</f>
        <v>509.59999999999997</v>
      </c>
      <c r="H43" s="92">
        <f>'REV &amp; COGS'!G17</f>
        <v>0.05</v>
      </c>
      <c r="I43" s="90">
        <f>'REV &amp; COGS'!H17</f>
        <v>6916</v>
      </c>
      <c r="M43" s="45"/>
    </row>
    <row r="44" spans="1:26" ht="12.3">
      <c r="B44" s="18" t="str">
        <f>'REV &amp; COGS'!A18</f>
        <v>Bibb Lettuce</v>
      </c>
      <c r="C44" s="93">
        <f>'REV &amp; COGS'!B18</f>
        <v>0</v>
      </c>
      <c r="D44" s="93">
        <f>'REV &amp; COGS'!C18</f>
        <v>0</v>
      </c>
      <c r="E44" s="93" t="str">
        <f>'REV &amp; COGS'!D18</f>
        <v/>
      </c>
      <c r="F44" s="90">
        <f>'REV &amp; COGS'!E18</f>
        <v>5200</v>
      </c>
      <c r="G44" s="91" t="str">
        <f>'REV &amp; COGS'!F18</f>
        <v/>
      </c>
      <c r="H44" s="92">
        <f>'REV &amp; COGS'!G18</f>
        <v>0.05</v>
      </c>
      <c r="I44" s="90">
        <f>'REV &amp; COGS'!H18</f>
        <v>4940</v>
      </c>
      <c r="M44" s="45"/>
    </row>
    <row r="45" spans="1:26" ht="12.3">
      <c r="B45" s="18" t="str">
        <f>'REV &amp; COGS'!A19</f>
        <v>Green Star</v>
      </c>
      <c r="C45" s="93">
        <f>'REV &amp; COGS'!B19</f>
        <v>0</v>
      </c>
      <c r="D45" s="93">
        <f>'REV &amp; COGS'!C19</f>
        <v>0</v>
      </c>
      <c r="E45" s="93" t="str">
        <f>'REV &amp; COGS'!D19</f>
        <v/>
      </c>
      <c r="F45" s="90">
        <f>'REV &amp; COGS'!E19</f>
        <v>2773.3333333333335</v>
      </c>
      <c r="G45" s="91" t="str">
        <f>'REV &amp; COGS'!F19</f>
        <v/>
      </c>
      <c r="H45" s="92">
        <f>'REV &amp; COGS'!G19</f>
        <v>0.05</v>
      </c>
      <c r="I45" s="90">
        <f>'REV &amp; COGS'!H19</f>
        <v>2634.6666666666665</v>
      </c>
      <c r="M45" s="45"/>
    </row>
    <row r="46" spans="1:26" ht="12.3">
      <c r="B46" s="18" t="str">
        <f>'REV &amp; COGS'!A20</f>
        <v>Mustard Greens</v>
      </c>
      <c r="C46" s="93">
        <f>'REV &amp; COGS'!B20</f>
        <v>0</v>
      </c>
      <c r="D46" s="93">
        <f>'REV &amp; COGS'!C20</f>
        <v>0</v>
      </c>
      <c r="E46" s="93" t="str">
        <f>'REV &amp; COGS'!D20</f>
        <v/>
      </c>
      <c r="F46" s="90">
        <f>'REV &amp; COGS'!E20</f>
        <v>3120</v>
      </c>
      <c r="G46" s="91" t="str">
        <f>'REV &amp; COGS'!F20</f>
        <v/>
      </c>
      <c r="H46" s="92">
        <f>'REV &amp; COGS'!G20</f>
        <v>0.05</v>
      </c>
      <c r="I46" s="90">
        <f>'REV &amp; COGS'!H20</f>
        <v>2964</v>
      </c>
      <c r="M46" s="45"/>
    </row>
    <row r="47" spans="1:26" ht="12.3">
      <c r="B47" s="18" t="str">
        <f>'REV &amp; COGS'!A21</f>
        <v>Basil</v>
      </c>
      <c r="C47" s="93">
        <f>'REV &amp; COGS'!B21</f>
        <v>0</v>
      </c>
      <c r="D47" s="93">
        <f>'REV &amp; COGS'!C21</f>
        <v>0</v>
      </c>
      <c r="E47" s="93" t="str">
        <f>'REV &amp; COGS'!D21</f>
        <v/>
      </c>
      <c r="F47" s="90">
        <f>'REV &amp; COGS'!E21</f>
        <v>2496</v>
      </c>
      <c r="G47" s="91" t="str">
        <f>'REV &amp; COGS'!F21</f>
        <v/>
      </c>
      <c r="H47" s="92">
        <f>'REV &amp; COGS'!G21</f>
        <v>0.05</v>
      </c>
      <c r="I47" s="90">
        <f>'REV &amp; COGS'!H21</f>
        <v>2371.1999999999998</v>
      </c>
      <c r="M47" s="45"/>
    </row>
    <row r="48" spans="1:26" ht="12.3" hidden="1">
      <c r="B48" s="18" t="str">
        <f>'REV &amp; COGS'!A22</f>
        <v/>
      </c>
      <c r="C48" s="93">
        <f>'REV &amp; COGS'!B22</f>
        <v>0</v>
      </c>
      <c r="D48" s="93">
        <f>'REV &amp; COGS'!C22</f>
        <v>0</v>
      </c>
      <c r="E48" s="93" t="str">
        <f>'REV &amp; COGS'!D22</f>
        <v/>
      </c>
      <c r="F48" s="90" t="str">
        <f>'REV &amp; COGS'!E22</f>
        <v/>
      </c>
      <c r="G48" s="91" t="str">
        <f>'REV &amp; COGS'!F22</f>
        <v/>
      </c>
      <c r="H48" s="92" t="str">
        <f>'REV &amp; COGS'!G22</f>
        <v/>
      </c>
      <c r="I48" s="90" t="str">
        <f>'REV &amp; COGS'!H22</f>
        <v/>
      </c>
      <c r="M48" s="45"/>
    </row>
    <row r="49" spans="1:26" ht="12.3" hidden="1">
      <c r="B49" s="18" t="str">
        <f>'REV &amp; COGS'!A23</f>
        <v/>
      </c>
      <c r="C49" s="93">
        <f>'REV &amp; COGS'!B23</f>
        <v>0</v>
      </c>
      <c r="D49" s="93">
        <f>'REV &amp; COGS'!C23</f>
        <v>0</v>
      </c>
      <c r="E49" s="93" t="str">
        <f>'REV &amp; COGS'!D23</f>
        <v/>
      </c>
      <c r="F49" s="90" t="str">
        <f>'REV &amp; COGS'!E23</f>
        <v/>
      </c>
      <c r="G49" s="91" t="str">
        <f>'REV &amp; COGS'!F23</f>
        <v/>
      </c>
      <c r="H49" s="92" t="str">
        <f>'REV &amp; COGS'!G23</f>
        <v/>
      </c>
      <c r="I49" s="90" t="str">
        <f>'REV &amp; COGS'!H23</f>
        <v/>
      </c>
      <c r="M49" s="45"/>
    </row>
    <row r="50" spans="1:26" ht="12.3" hidden="1">
      <c r="B50" s="18" t="str">
        <f>'REV &amp; COGS'!A24</f>
        <v/>
      </c>
      <c r="C50" s="93">
        <f>'REV &amp; COGS'!B24</f>
        <v>0</v>
      </c>
      <c r="D50" s="93">
        <f>'REV &amp; COGS'!C24</f>
        <v>0</v>
      </c>
      <c r="E50" s="93" t="str">
        <f>'REV &amp; COGS'!D24</f>
        <v/>
      </c>
      <c r="F50" s="90" t="str">
        <f>'REV &amp; COGS'!E24</f>
        <v/>
      </c>
      <c r="G50" s="91" t="str">
        <f>'REV &amp; COGS'!F24</f>
        <v/>
      </c>
      <c r="H50" s="92" t="str">
        <f>'REV &amp; COGS'!G24</f>
        <v/>
      </c>
      <c r="I50" s="90" t="str">
        <f>'REV &amp; COGS'!H24</f>
        <v/>
      </c>
      <c r="M50" s="45"/>
    </row>
    <row r="51" spans="1:26" ht="12.3" hidden="1">
      <c r="B51" s="18" t="str">
        <f>'REV &amp; COGS'!A25</f>
        <v/>
      </c>
      <c r="C51" s="93">
        <f>'REV &amp; COGS'!B25</f>
        <v>0</v>
      </c>
      <c r="D51" s="93">
        <f>'REV &amp; COGS'!C25</f>
        <v>0</v>
      </c>
      <c r="E51" s="93" t="str">
        <f>'REV &amp; COGS'!D25</f>
        <v/>
      </c>
      <c r="F51" s="90" t="str">
        <f>'REV &amp; COGS'!E25</f>
        <v/>
      </c>
      <c r="G51" s="91" t="str">
        <f>'REV &amp; COGS'!F25</f>
        <v/>
      </c>
      <c r="H51" s="92" t="str">
        <f>'REV &amp; COGS'!G25</f>
        <v/>
      </c>
      <c r="I51" s="90" t="str">
        <f>'REV &amp; COGS'!H25</f>
        <v/>
      </c>
      <c r="M51" s="45"/>
    </row>
    <row r="52" spans="1:26" ht="12.3" hidden="1">
      <c r="B52" s="18" t="str">
        <f>'REV &amp; COGS'!A26</f>
        <v/>
      </c>
      <c r="C52" s="93">
        <f>'REV &amp; COGS'!B26</f>
        <v>0</v>
      </c>
      <c r="D52" s="93">
        <f>'REV &amp; COGS'!C26</f>
        <v>0</v>
      </c>
      <c r="E52" s="93" t="str">
        <f>'REV &amp; COGS'!D26</f>
        <v/>
      </c>
      <c r="F52" s="90" t="str">
        <f>'REV &amp; COGS'!E26</f>
        <v/>
      </c>
      <c r="G52" s="91" t="str">
        <f>'REV &amp; COGS'!F26</f>
        <v/>
      </c>
      <c r="H52" s="92" t="str">
        <f>'REV &amp; COGS'!G26</f>
        <v/>
      </c>
      <c r="I52" s="90" t="str">
        <f>'REV &amp; COGS'!H26</f>
        <v/>
      </c>
      <c r="M52" s="45"/>
    </row>
    <row r="53" spans="1:26" ht="12.3" hidden="1">
      <c r="B53" s="18" t="str">
        <f>'REV &amp; COGS'!A27</f>
        <v/>
      </c>
      <c r="C53" s="93">
        <f>'REV &amp; COGS'!B27</f>
        <v>0</v>
      </c>
      <c r="D53" s="93">
        <f>'REV &amp; COGS'!C27</f>
        <v>0</v>
      </c>
      <c r="E53" s="93" t="str">
        <f>'REV &amp; COGS'!D27</f>
        <v/>
      </c>
      <c r="F53" s="90" t="str">
        <f>'REV &amp; COGS'!E27</f>
        <v/>
      </c>
      <c r="G53" s="91" t="str">
        <f>'REV &amp; COGS'!F27</f>
        <v/>
      </c>
      <c r="H53" s="92" t="str">
        <f>'REV &amp; COGS'!G27</f>
        <v/>
      </c>
      <c r="I53" s="90" t="str">
        <f>'REV &amp; COGS'!H27</f>
        <v/>
      </c>
      <c r="M53" s="45"/>
    </row>
    <row r="54" spans="1:26" ht="12.3" hidden="1">
      <c r="B54" s="18" t="str">
        <f>'REV &amp; COGS'!A28</f>
        <v/>
      </c>
      <c r="C54" s="93">
        <f>'REV &amp; COGS'!B28</f>
        <v>0</v>
      </c>
      <c r="D54" s="93">
        <f>'REV &amp; COGS'!C28</f>
        <v>0</v>
      </c>
      <c r="E54" s="93" t="str">
        <f>'REV &amp; COGS'!D28</f>
        <v/>
      </c>
      <c r="F54" s="90" t="str">
        <f>'REV &amp; COGS'!E28</f>
        <v/>
      </c>
      <c r="G54" s="91" t="str">
        <f>'REV &amp; COGS'!F28</f>
        <v/>
      </c>
      <c r="H54" s="92" t="str">
        <f>'REV &amp; COGS'!G28</f>
        <v/>
      </c>
      <c r="I54" s="90" t="str">
        <f>'REV &amp; COGS'!H28</f>
        <v/>
      </c>
      <c r="M54" s="45"/>
    </row>
    <row r="55" spans="1:26" ht="12.3" hidden="1">
      <c r="B55" s="18" t="str">
        <f>'REV &amp; COGS'!A29</f>
        <v/>
      </c>
      <c r="C55" s="93">
        <f>'REV &amp; COGS'!B29</f>
        <v>0</v>
      </c>
      <c r="D55" s="93">
        <f>'REV &amp; COGS'!C29</f>
        <v>0</v>
      </c>
      <c r="E55" s="93" t="str">
        <f>'REV &amp; COGS'!D29</f>
        <v/>
      </c>
      <c r="F55" s="90" t="str">
        <f>'REV &amp; COGS'!E29</f>
        <v/>
      </c>
      <c r="G55" s="91" t="str">
        <f>'REV &amp; COGS'!F29</f>
        <v/>
      </c>
      <c r="H55" s="92" t="str">
        <f>'REV &amp; COGS'!G29</f>
        <v/>
      </c>
      <c r="I55" s="90" t="str">
        <f>'REV &amp; COGS'!H29</f>
        <v/>
      </c>
      <c r="M55" s="45"/>
    </row>
    <row r="56" spans="1:26" ht="12.3" hidden="1">
      <c r="B56" s="18" t="str">
        <f>'REV &amp; COGS'!A30</f>
        <v/>
      </c>
      <c r="C56" s="93">
        <f>'REV &amp; COGS'!B30</f>
        <v>0</v>
      </c>
      <c r="D56" s="93">
        <f>'REV &amp; COGS'!C30</f>
        <v>0</v>
      </c>
      <c r="E56" s="93" t="str">
        <f>'REV &amp; COGS'!D30</f>
        <v/>
      </c>
      <c r="F56" s="90" t="str">
        <f>'REV &amp; COGS'!E30</f>
        <v/>
      </c>
      <c r="G56" s="91" t="str">
        <f>'REV &amp; COGS'!F30</f>
        <v/>
      </c>
      <c r="H56" s="92" t="str">
        <f>'REV &amp; COGS'!G30</f>
        <v/>
      </c>
      <c r="I56" s="90" t="str">
        <f>'REV &amp; COGS'!H30</f>
        <v/>
      </c>
      <c r="M56" s="45"/>
    </row>
    <row r="57" spans="1:26" ht="12.3">
      <c r="B57" s="94" t="str">
        <f>'REV &amp; COGS'!A31</f>
        <v>Totals</v>
      </c>
      <c r="C57" s="95">
        <f>'REV &amp; COGS'!B31</f>
        <v>0</v>
      </c>
      <c r="D57" s="95">
        <f>'REV &amp; COGS'!C31</f>
        <v>0</v>
      </c>
      <c r="E57" s="95">
        <f>'REV &amp; COGS'!D31</f>
        <v>0</v>
      </c>
      <c r="F57" s="96">
        <f>'REV &amp; COGS'!E31</f>
        <v>20869.333333333336</v>
      </c>
      <c r="G57" s="97">
        <f>'REV &amp; COGS'!F31</f>
        <v>509.59999999999997</v>
      </c>
      <c r="H57" s="95">
        <f>'REV &amp; COGS'!G31</f>
        <v>0</v>
      </c>
      <c r="I57" s="96">
        <f>'REV &amp; COGS'!H31</f>
        <v>19825.866666666665</v>
      </c>
      <c r="M57" s="45"/>
    </row>
    <row r="58" spans="1:26" ht="12.3">
      <c r="B58" s="22"/>
      <c r="M58" s="45"/>
    </row>
    <row r="59" spans="1:26" ht="12.3">
      <c r="B59" s="22" t="s">
        <v>664</v>
      </c>
      <c r="M59" s="45"/>
    </row>
    <row r="60" spans="1:26" ht="36.9">
      <c r="A60" s="45"/>
      <c r="B60" s="87" t="str">
        <f>'REV &amp; COGS'!A16</f>
        <v>Crops</v>
      </c>
      <c r="C60" s="88" t="str">
        <f>'REV &amp; COGS'!K16</f>
        <v>Product Sold by</v>
      </c>
      <c r="D60" s="88" t="str">
        <f>'REV &amp; COGS'!L16</f>
        <v>Packaging Type</v>
      </c>
      <c r="E60" s="88" t="str">
        <f>'REV &amp; COGS'!M16</f>
        <v>Packaging Cost per unit</v>
      </c>
      <c r="F60" s="88" t="str">
        <f>'REV &amp; COGS'!N16</f>
        <v>Variable cost per unit</v>
      </c>
      <c r="G60" s="88" t="str">
        <f>'REV &amp; COGS'!O16</f>
        <v>Units Sold</v>
      </c>
      <c r="H60" s="88" t="str">
        <f>'REV &amp; COGS'!P16</f>
        <v>Total packaging cost</v>
      </c>
      <c r="I60" s="45"/>
      <c r="J60" s="45"/>
      <c r="K60" s="45"/>
      <c r="L60" s="45"/>
      <c r="M60" s="45"/>
      <c r="N60" s="45"/>
      <c r="O60" s="45"/>
      <c r="P60" s="45"/>
      <c r="Q60" s="45"/>
      <c r="R60" s="45"/>
      <c r="S60" s="45"/>
      <c r="T60" s="45"/>
      <c r="U60" s="45"/>
      <c r="V60" s="45"/>
      <c r="W60" s="45"/>
      <c r="X60" s="45"/>
      <c r="Y60" s="45"/>
      <c r="Z60" s="45"/>
    </row>
    <row r="61" spans="1:26" ht="24.6">
      <c r="B61" s="31" t="str">
        <f>'REV &amp; COGS'!A17</f>
        <v>Romaine</v>
      </c>
      <c r="C61" s="98" t="str">
        <f>'REV &amp; COGS'!K17</f>
        <v>24 ct case</v>
      </c>
      <c r="D61" s="98" t="str">
        <f>'REV &amp; COGS'!L17</f>
        <v>box liner 24 ct</v>
      </c>
      <c r="E61" s="99">
        <f>'REV &amp; COGS'!M17</f>
        <v>0</v>
      </c>
      <c r="F61" s="99">
        <f>'REV &amp; COGS'!N17</f>
        <v>1.6799999999999997</v>
      </c>
      <c r="G61" s="100">
        <f>'REV &amp; COGS'!O17</f>
        <v>288.16666666666669</v>
      </c>
      <c r="H61" s="101">
        <f>'REV &amp; COGS'!P17</f>
        <v>0</v>
      </c>
      <c r="M61" s="45"/>
    </row>
    <row r="62" spans="1:26" ht="12.3">
      <c r="B62" s="31" t="str">
        <f>'REV &amp; COGS'!A18</f>
        <v>Bibb Lettuce</v>
      </c>
      <c r="C62" s="98">
        <f>'REV &amp; COGS'!K18</f>
        <v>0</v>
      </c>
      <c r="D62" s="98">
        <f>'REV &amp; COGS'!L18</f>
        <v>0</v>
      </c>
      <c r="E62" s="99" t="str">
        <f>'REV &amp; COGS'!M18</f>
        <v/>
      </c>
      <c r="F62" s="99" t="str">
        <f>'REV &amp; COGS'!N18</f>
        <v/>
      </c>
      <c r="G62" s="100" t="str">
        <f>'REV &amp; COGS'!O18</f>
        <v/>
      </c>
      <c r="H62" s="101" t="str">
        <f>'REV &amp; COGS'!P18</f>
        <v/>
      </c>
      <c r="M62" s="45"/>
    </row>
    <row r="63" spans="1:26" ht="12.3">
      <c r="B63" s="31" t="str">
        <f>'REV &amp; COGS'!A19</f>
        <v>Green Star</v>
      </c>
      <c r="C63" s="98">
        <f>'REV &amp; COGS'!K19</f>
        <v>0</v>
      </c>
      <c r="D63" s="98">
        <f>'REV &amp; COGS'!L19</f>
        <v>0</v>
      </c>
      <c r="E63" s="99" t="str">
        <f>'REV &amp; COGS'!M19</f>
        <v/>
      </c>
      <c r="F63" s="99" t="str">
        <f>'REV &amp; COGS'!N19</f>
        <v/>
      </c>
      <c r="G63" s="100" t="str">
        <f>'REV &amp; COGS'!O19</f>
        <v/>
      </c>
      <c r="H63" s="101" t="str">
        <f>'REV &amp; COGS'!P19</f>
        <v/>
      </c>
      <c r="M63" s="45"/>
    </row>
    <row r="64" spans="1:26" ht="12.3">
      <c r="B64" s="31" t="str">
        <f>'REV &amp; COGS'!A20</f>
        <v>Mustard Greens</v>
      </c>
      <c r="C64" s="98">
        <f>'REV &amp; COGS'!K20</f>
        <v>0</v>
      </c>
      <c r="D64" s="98">
        <f>'REV &amp; COGS'!L20</f>
        <v>0</v>
      </c>
      <c r="E64" s="99" t="str">
        <f>'REV &amp; COGS'!M20</f>
        <v/>
      </c>
      <c r="F64" s="99" t="str">
        <f>'REV &amp; COGS'!N20</f>
        <v/>
      </c>
      <c r="G64" s="100" t="str">
        <f>'REV &amp; COGS'!O20</f>
        <v/>
      </c>
      <c r="H64" s="101" t="str">
        <f>'REV &amp; COGS'!P20</f>
        <v/>
      </c>
      <c r="M64" s="45"/>
    </row>
    <row r="65" spans="1:26" ht="12.3">
      <c r="B65" s="31" t="str">
        <f>'REV &amp; COGS'!A21</f>
        <v>Basil</v>
      </c>
      <c r="C65" s="98">
        <f>'REV &amp; COGS'!K21</f>
        <v>0</v>
      </c>
      <c r="D65" s="98">
        <f>'REV &amp; COGS'!L21</f>
        <v>0</v>
      </c>
      <c r="E65" s="99" t="str">
        <f>'REV &amp; COGS'!M21</f>
        <v/>
      </c>
      <c r="F65" s="99" t="str">
        <f>'REV &amp; COGS'!N21</f>
        <v/>
      </c>
      <c r="G65" s="100" t="str">
        <f>'REV &amp; COGS'!O21</f>
        <v/>
      </c>
      <c r="H65" s="101" t="str">
        <f>'REV &amp; COGS'!P21</f>
        <v/>
      </c>
      <c r="M65" s="45"/>
    </row>
    <row r="66" spans="1:26" ht="12.3" hidden="1">
      <c r="B66" s="31" t="str">
        <f>'REV &amp; COGS'!A22</f>
        <v/>
      </c>
      <c r="C66" s="98">
        <f>'REV &amp; COGS'!K22</f>
        <v>0</v>
      </c>
      <c r="D66" s="98">
        <f>'REV &amp; COGS'!L22</f>
        <v>0</v>
      </c>
      <c r="E66" s="99" t="str">
        <f>'REV &amp; COGS'!M22</f>
        <v/>
      </c>
      <c r="F66" s="99" t="str">
        <f>'REV &amp; COGS'!N22</f>
        <v/>
      </c>
      <c r="G66" s="100" t="str">
        <f>'REV &amp; COGS'!O22</f>
        <v/>
      </c>
      <c r="H66" s="101" t="str">
        <f>'REV &amp; COGS'!P22</f>
        <v/>
      </c>
      <c r="M66" s="45"/>
    </row>
    <row r="67" spans="1:26" ht="12.3" hidden="1">
      <c r="B67" s="31" t="str">
        <f>'REV &amp; COGS'!A23</f>
        <v/>
      </c>
      <c r="C67" s="98">
        <f>'REV &amp; COGS'!K23</f>
        <v>0</v>
      </c>
      <c r="D67" s="98">
        <f>'REV &amp; COGS'!L23</f>
        <v>0</v>
      </c>
      <c r="E67" s="99" t="str">
        <f>'REV &amp; COGS'!M23</f>
        <v/>
      </c>
      <c r="F67" s="99" t="str">
        <f>'REV &amp; COGS'!N23</f>
        <v/>
      </c>
      <c r="G67" s="100" t="str">
        <f>'REV &amp; COGS'!O23</f>
        <v/>
      </c>
      <c r="H67" s="101" t="str">
        <f>'REV &amp; COGS'!P23</f>
        <v/>
      </c>
      <c r="M67" s="45"/>
    </row>
    <row r="68" spans="1:26" ht="12.3" hidden="1">
      <c r="B68" s="31" t="str">
        <f>'REV &amp; COGS'!A24</f>
        <v/>
      </c>
      <c r="C68" s="98">
        <f>'REV &amp; COGS'!K24</f>
        <v>0</v>
      </c>
      <c r="D68" s="98">
        <f>'REV &amp; COGS'!L24</f>
        <v>0</v>
      </c>
      <c r="E68" s="99" t="str">
        <f>'REV &amp; COGS'!M24</f>
        <v/>
      </c>
      <c r="F68" s="99" t="str">
        <f>'REV &amp; COGS'!N24</f>
        <v/>
      </c>
      <c r="G68" s="100" t="str">
        <f>'REV &amp; COGS'!O24</f>
        <v/>
      </c>
      <c r="H68" s="101" t="str">
        <f>'REV &amp; COGS'!P24</f>
        <v/>
      </c>
      <c r="M68" s="45"/>
    </row>
    <row r="69" spans="1:26" ht="12.3" hidden="1">
      <c r="B69" s="31" t="str">
        <f>'REV &amp; COGS'!A25</f>
        <v/>
      </c>
      <c r="C69" s="98">
        <f>'REV &amp; COGS'!K25</f>
        <v>0</v>
      </c>
      <c r="D69" s="98">
        <f>'REV &amp; COGS'!L25</f>
        <v>0</v>
      </c>
      <c r="E69" s="99" t="str">
        <f>'REV &amp; COGS'!M25</f>
        <v/>
      </c>
      <c r="F69" s="99" t="str">
        <f>'REV &amp; COGS'!N25</f>
        <v/>
      </c>
      <c r="G69" s="100" t="str">
        <f>'REV &amp; COGS'!O25</f>
        <v/>
      </c>
      <c r="H69" s="101" t="str">
        <f>'REV &amp; COGS'!P25</f>
        <v/>
      </c>
      <c r="M69" s="45"/>
    </row>
    <row r="70" spans="1:26" ht="12.3" hidden="1">
      <c r="B70" s="31" t="str">
        <f>'REV &amp; COGS'!A26</f>
        <v/>
      </c>
      <c r="C70" s="98">
        <f>'REV &amp; COGS'!K26</f>
        <v>0</v>
      </c>
      <c r="D70" s="98">
        <f>'REV &amp; COGS'!L26</f>
        <v>0</v>
      </c>
      <c r="E70" s="99" t="str">
        <f>'REV &amp; COGS'!M26</f>
        <v/>
      </c>
      <c r="F70" s="99" t="str">
        <f>'REV &amp; COGS'!N26</f>
        <v/>
      </c>
      <c r="G70" s="100" t="str">
        <f>'REV &amp; COGS'!O26</f>
        <v/>
      </c>
      <c r="H70" s="101" t="str">
        <f>'REV &amp; COGS'!P26</f>
        <v/>
      </c>
      <c r="M70" s="45"/>
    </row>
    <row r="71" spans="1:26" ht="12.3" hidden="1">
      <c r="B71" s="31" t="str">
        <f>'REV &amp; COGS'!A27</f>
        <v/>
      </c>
      <c r="C71" s="98">
        <f>'REV &amp; COGS'!K27</f>
        <v>0</v>
      </c>
      <c r="D71" s="98">
        <f>'REV &amp; COGS'!L27</f>
        <v>0</v>
      </c>
      <c r="E71" s="99" t="str">
        <f>'REV &amp; COGS'!M27</f>
        <v/>
      </c>
      <c r="F71" s="99" t="str">
        <f>'REV &amp; COGS'!N27</f>
        <v/>
      </c>
      <c r="G71" s="100" t="str">
        <f>'REV &amp; COGS'!O27</f>
        <v/>
      </c>
      <c r="H71" s="101" t="str">
        <f>'REV &amp; COGS'!P27</f>
        <v/>
      </c>
      <c r="M71" s="45"/>
    </row>
    <row r="72" spans="1:26" ht="12.3" hidden="1">
      <c r="B72" s="31" t="str">
        <f>'REV &amp; COGS'!A28</f>
        <v/>
      </c>
      <c r="C72" s="98">
        <f>'REV &amp; COGS'!K28</f>
        <v>0</v>
      </c>
      <c r="D72" s="98">
        <f>'REV &amp; COGS'!L28</f>
        <v>0</v>
      </c>
      <c r="E72" s="99" t="str">
        <f>'REV &amp; COGS'!M28</f>
        <v/>
      </c>
      <c r="F72" s="99" t="str">
        <f>'REV &amp; COGS'!N28</f>
        <v/>
      </c>
      <c r="G72" s="100" t="str">
        <f>'REV &amp; COGS'!O28</f>
        <v/>
      </c>
      <c r="H72" s="101" t="str">
        <f>'REV &amp; COGS'!P28</f>
        <v/>
      </c>
      <c r="M72" s="45"/>
    </row>
    <row r="73" spans="1:26" ht="12.3" hidden="1">
      <c r="B73" s="31" t="str">
        <f>'REV &amp; COGS'!A29</f>
        <v/>
      </c>
      <c r="C73" s="98">
        <f>'REV &amp; COGS'!K29</f>
        <v>0</v>
      </c>
      <c r="D73" s="98">
        <f>'REV &amp; COGS'!L29</f>
        <v>0</v>
      </c>
      <c r="E73" s="99" t="str">
        <f>'REV &amp; COGS'!M29</f>
        <v/>
      </c>
      <c r="F73" s="99" t="str">
        <f>'REV &amp; COGS'!N29</f>
        <v/>
      </c>
      <c r="G73" s="100" t="str">
        <f>'REV &amp; COGS'!O29</f>
        <v/>
      </c>
      <c r="H73" s="101" t="str">
        <f>'REV &amp; COGS'!P29</f>
        <v/>
      </c>
      <c r="M73" s="45"/>
    </row>
    <row r="74" spans="1:26" ht="12.3" hidden="1">
      <c r="B74" s="31" t="str">
        <f>'REV &amp; COGS'!A30</f>
        <v/>
      </c>
      <c r="C74" s="98">
        <f>'REV &amp; COGS'!K30</f>
        <v>0</v>
      </c>
      <c r="D74" s="98">
        <f>'REV &amp; COGS'!L30</f>
        <v>0</v>
      </c>
      <c r="E74" s="99" t="str">
        <f>'REV &amp; COGS'!M30</f>
        <v/>
      </c>
      <c r="F74" s="99" t="str">
        <f>'REV &amp; COGS'!N30</f>
        <v/>
      </c>
      <c r="G74" s="100" t="str">
        <f>'REV &amp; COGS'!O30</f>
        <v/>
      </c>
      <c r="H74" s="101" t="str">
        <f>'REV &amp; COGS'!P30</f>
        <v/>
      </c>
      <c r="M74" s="45"/>
    </row>
    <row r="75" spans="1:26" ht="12.3">
      <c r="B75" s="68" t="str">
        <f>'REV &amp; COGS'!A31</f>
        <v>Totals</v>
      </c>
      <c r="C75" s="94">
        <f>'REV &amp; COGS'!K31</f>
        <v>0</v>
      </c>
      <c r="D75" s="94">
        <f>'REV &amp; COGS'!L31</f>
        <v>0</v>
      </c>
      <c r="E75" s="95">
        <f>'REV &amp; COGS'!M31</f>
        <v>0</v>
      </c>
      <c r="F75" s="95">
        <f>'REV &amp; COGS'!N31</f>
        <v>0</v>
      </c>
      <c r="G75" s="102">
        <f>'REV &amp; COGS'!O31</f>
        <v>288.16666666666669</v>
      </c>
      <c r="H75" s="103">
        <f>'REV &amp; COGS'!P31</f>
        <v>0</v>
      </c>
      <c r="M75" s="45"/>
    </row>
    <row r="76" spans="1:26" ht="12.3">
      <c r="B76" s="3">
        <f>'REV &amp; COGS'!A32</f>
        <v>0</v>
      </c>
      <c r="C76" s="45">
        <f>'REV &amp; COGS'!K32</f>
        <v>0</v>
      </c>
      <c r="D76" s="45">
        <f>'REV &amp; COGS'!L32</f>
        <v>0</v>
      </c>
      <c r="E76" s="45">
        <f>'REV &amp; COGS'!M32</f>
        <v>0</v>
      </c>
      <c r="F76" s="45">
        <f>'REV &amp; COGS'!N32</f>
        <v>0</v>
      </c>
      <c r="G76" s="45">
        <f>'REV &amp; COGS'!O32</f>
        <v>0</v>
      </c>
      <c r="H76" s="45">
        <f>'REV &amp; COGS'!P32</f>
        <v>0</v>
      </c>
      <c r="M76" s="45"/>
    </row>
    <row r="77" spans="1:26" ht="12.3">
      <c r="B77" s="104" t="s">
        <v>665</v>
      </c>
      <c r="M77" s="45">
        <f>'Energy and Water'!B29</f>
        <v>0</v>
      </c>
    </row>
    <row r="78" spans="1:26" ht="36.9">
      <c r="A78" s="45"/>
      <c r="B78" s="105" t="str">
        <f>'Plant &amp; Fish Production'!F27</f>
        <v>Crops</v>
      </c>
      <c r="C78" s="75" t="str">
        <f>'Plant &amp; Fish Production'!G27</f>
        <v># of Raft Boards</v>
      </c>
      <c r="D78" s="75" t="str">
        <f>'Plant &amp; Fish Production'!H27</f>
        <v>% of DWC</v>
      </c>
      <c r="E78" s="75" t="str">
        <f>'Plant &amp; Fish Production'!I27</f>
        <v>Plants per raft</v>
      </c>
      <c r="F78" s="75" t="str">
        <f>'Plant &amp; Fish Production'!J27</f>
        <v>Plant Density per ft2</v>
      </c>
      <c r="G78" s="75" t="str">
        <f>'Plant &amp; Fish Production'!K27</f>
        <v>Total Plants</v>
      </c>
      <c r="H78" s="76" t="str">
        <f>'Plant &amp; Fish Production'!L27</f>
        <v>Culture Time (wks)</v>
      </c>
      <c r="I78" s="75" t="str">
        <f>'Plant &amp; Fish Production'!M27</f>
        <v>Total Plants</v>
      </c>
      <c r="J78" s="77" t="str">
        <f>'Plant &amp; Fish Production'!N27</f>
        <v>Loss Rate</v>
      </c>
      <c r="K78" s="77" t="str">
        <f>'Plant &amp; Fish Production'!O27</f>
        <v>Net Plants</v>
      </c>
      <c r="L78" s="45"/>
      <c r="M78" s="45"/>
      <c r="N78" s="45"/>
      <c r="O78" s="45"/>
      <c r="P78" s="45"/>
      <c r="Q78" s="45"/>
      <c r="R78" s="45"/>
      <c r="S78" s="45"/>
      <c r="T78" s="45"/>
      <c r="U78" s="45"/>
      <c r="V78" s="45"/>
      <c r="W78" s="45"/>
      <c r="X78" s="45"/>
      <c r="Y78" s="45"/>
      <c r="Z78" s="45"/>
    </row>
    <row r="79" spans="1:26" ht="12.3">
      <c r="B79" s="31" t="str">
        <f>'Plant &amp; Fish Production'!F28</f>
        <v>Romaine</v>
      </c>
      <c r="C79" s="106">
        <f>'Plant &amp; Fish Production'!G28</f>
        <v>0</v>
      </c>
      <c r="D79" s="107" t="str">
        <f>'Plant &amp; Fish Production'!H28</f>
        <v/>
      </c>
      <c r="E79" s="106">
        <f>'Plant &amp; Fish Production'!I28</f>
        <v>0</v>
      </c>
      <c r="F79" s="108" t="str">
        <f>'Plant &amp; Fish Production'!J28</f>
        <v/>
      </c>
      <c r="G79" s="109" t="str">
        <f>'Plant &amp; Fish Production'!K28</f>
        <v/>
      </c>
      <c r="H79" s="108">
        <f>'Plant &amp; Fish Production'!L28</f>
        <v>0</v>
      </c>
      <c r="I79" s="109" t="str">
        <f>'Plant &amp; Fish Production'!M28</f>
        <v/>
      </c>
      <c r="J79" s="107">
        <f>'Plant &amp; Fish Production'!N28</f>
        <v>0</v>
      </c>
      <c r="K79" s="109" t="str">
        <f>'Plant &amp; Fish Production'!O28</f>
        <v/>
      </c>
    </row>
    <row r="80" spans="1:26" ht="12.3">
      <c r="B80" s="31" t="str">
        <f>'Plant &amp; Fish Production'!F29</f>
        <v>Bibb Lettuce</v>
      </c>
      <c r="C80" s="106">
        <f>'Plant &amp; Fish Production'!G29</f>
        <v>0</v>
      </c>
      <c r="D80" s="107" t="str">
        <f>'Plant &amp; Fish Production'!H29</f>
        <v/>
      </c>
      <c r="E80" s="106">
        <f>'Plant &amp; Fish Production'!I29</f>
        <v>0</v>
      </c>
      <c r="F80" s="108" t="str">
        <f>'Plant &amp; Fish Production'!J29</f>
        <v/>
      </c>
      <c r="G80" s="109" t="str">
        <f>'Plant &amp; Fish Production'!K29</f>
        <v/>
      </c>
      <c r="H80" s="108">
        <f>'Plant &amp; Fish Production'!L29</f>
        <v>0</v>
      </c>
      <c r="I80" s="109" t="str">
        <f>'Plant &amp; Fish Production'!M29</f>
        <v/>
      </c>
      <c r="J80" s="107">
        <f>'Plant &amp; Fish Production'!N29</f>
        <v>0</v>
      </c>
      <c r="K80" s="109" t="str">
        <f>'Plant &amp; Fish Production'!O29</f>
        <v/>
      </c>
    </row>
    <row r="81" spans="1:26" ht="12.3">
      <c r="B81" s="31" t="str">
        <f>'Plant &amp; Fish Production'!F30</f>
        <v>Green Star</v>
      </c>
      <c r="C81" s="106">
        <f>'Plant &amp; Fish Production'!G30</f>
        <v>0</v>
      </c>
      <c r="D81" s="107" t="str">
        <f>'Plant &amp; Fish Production'!H30</f>
        <v/>
      </c>
      <c r="E81" s="106">
        <f>'Plant &amp; Fish Production'!I30</f>
        <v>0</v>
      </c>
      <c r="F81" s="108" t="str">
        <f>'Plant &amp; Fish Production'!J30</f>
        <v/>
      </c>
      <c r="G81" s="109" t="str">
        <f>'Plant &amp; Fish Production'!K30</f>
        <v/>
      </c>
      <c r="H81" s="108">
        <f>'Plant &amp; Fish Production'!L30</f>
        <v>0</v>
      </c>
      <c r="I81" s="109" t="str">
        <f>'Plant &amp; Fish Production'!M30</f>
        <v/>
      </c>
      <c r="J81" s="107">
        <f>'Plant &amp; Fish Production'!N30</f>
        <v>0</v>
      </c>
      <c r="K81" s="109" t="str">
        <f>'Plant &amp; Fish Production'!O30</f>
        <v/>
      </c>
    </row>
    <row r="82" spans="1:26" ht="12.3">
      <c r="B82" s="31" t="str">
        <f>'Plant &amp; Fish Production'!F31</f>
        <v>Mustard Greens</v>
      </c>
      <c r="C82" s="106">
        <f>'Plant &amp; Fish Production'!G31</f>
        <v>0</v>
      </c>
      <c r="D82" s="107" t="str">
        <f>'Plant &amp; Fish Production'!H31</f>
        <v/>
      </c>
      <c r="E82" s="106">
        <f>'Plant &amp; Fish Production'!I31</f>
        <v>0</v>
      </c>
      <c r="F82" s="108" t="str">
        <f>'Plant &amp; Fish Production'!J31</f>
        <v/>
      </c>
      <c r="G82" s="109" t="str">
        <f>'Plant &amp; Fish Production'!K31</f>
        <v/>
      </c>
      <c r="H82" s="108">
        <f>'Plant &amp; Fish Production'!L31</f>
        <v>0</v>
      </c>
      <c r="I82" s="109" t="str">
        <f>'Plant &amp; Fish Production'!M31</f>
        <v/>
      </c>
      <c r="J82" s="107">
        <f>'Plant &amp; Fish Production'!N31</f>
        <v>0</v>
      </c>
      <c r="K82" s="109" t="str">
        <f>'Plant &amp; Fish Production'!O31</f>
        <v/>
      </c>
    </row>
    <row r="83" spans="1:26" ht="12.3">
      <c r="B83" s="31" t="str">
        <f>'Plant &amp; Fish Production'!F32</f>
        <v>Red Russian Kale</v>
      </c>
      <c r="C83" s="106">
        <f>'Plant &amp; Fish Production'!G32</f>
        <v>0</v>
      </c>
      <c r="D83" s="107" t="str">
        <f>'Plant &amp; Fish Production'!H32</f>
        <v/>
      </c>
      <c r="E83" s="106">
        <f>'Plant &amp; Fish Production'!I32</f>
        <v>0</v>
      </c>
      <c r="F83" s="108" t="str">
        <f>'Plant &amp; Fish Production'!J32</f>
        <v/>
      </c>
      <c r="G83" s="109" t="str">
        <f>'Plant &amp; Fish Production'!K32</f>
        <v/>
      </c>
      <c r="H83" s="108">
        <f>'Plant &amp; Fish Production'!L32</f>
        <v>0</v>
      </c>
      <c r="I83" s="109" t="str">
        <f>'Plant &amp; Fish Production'!M32</f>
        <v/>
      </c>
      <c r="J83" s="107">
        <f>'Plant &amp; Fish Production'!N32</f>
        <v>0</v>
      </c>
      <c r="K83" s="109" t="str">
        <f>'Plant &amp; Fish Production'!O32</f>
        <v/>
      </c>
    </row>
    <row r="84" spans="1:26" ht="12.3" hidden="1">
      <c r="B84" s="31">
        <f>'Plant &amp; Fish Production'!F33</f>
        <v>0</v>
      </c>
      <c r="C84" s="106">
        <f>'Plant &amp; Fish Production'!G33</f>
        <v>0</v>
      </c>
      <c r="D84" s="107" t="str">
        <f>'Plant &amp; Fish Production'!H33</f>
        <v/>
      </c>
      <c r="E84" s="106">
        <f>'Plant &amp; Fish Production'!I33</f>
        <v>0</v>
      </c>
      <c r="F84" s="108" t="str">
        <f>'Plant &amp; Fish Production'!J33</f>
        <v/>
      </c>
      <c r="G84" s="109" t="str">
        <f>'Plant &amp; Fish Production'!K33</f>
        <v/>
      </c>
      <c r="H84" s="108">
        <f>'Plant &amp; Fish Production'!L33</f>
        <v>0</v>
      </c>
      <c r="I84" s="109" t="str">
        <f>'Plant &amp; Fish Production'!M33</f>
        <v/>
      </c>
      <c r="J84" s="107">
        <f>'Plant &amp; Fish Production'!N33</f>
        <v>0</v>
      </c>
      <c r="K84" s="109" t="str">
        <f>'Plant &amp; Fish Production'!O33</f>
        <v/>
      </c>
    </row>
    <row r="85" spans="1:26" ht="12.3" hidden="1">
      <c r="B85" s="31">
        <f>'Plant &amp; Fish Production'!F34</f>
        <v>0</v>
      </c>
      <c r="C85" s="106">
        <f>'Plant &amp; Fish Production'!G34</f>
        <v>0</v>
      </c>
      <c r="D85" s="107" t="str">
        <f>'Plant &amp; Fish Production'!H34</f>
        <v/>
      </c>
      <c r="E85" s="106">
        <f>'Plant &amp; Fish Production'!I34</f>
        <v>0</v>
      </c>
      <c r="F85" s="108" t="str">
        <f>'Plant &amp; Fish Production'!J34</f>
        <v/>
      </c>
      <c r="G85" s="109" t="str">
        <f>'Plant &amp; Fish Production'!K34</f>
        <v/>
      </c>
      <c r="H85" s="108">
        <f>'Plant &amp; Fish Production'!L34</f>
        <v>0</v>
      </c>
      <c r="I85" s="109" t="str">
        <f>'Plant &amp; Fish Production'!M34</f>
        <v/>
      </c>
      <c r="J85" s="107">
        <f>'Plant &amp; Fish Production'!N34</f>
        <v>0</v>
      </c>
      <c r="K85" s="109" t="str">
        <f>'Plant &amp; Fish Production'!O34</f>
        <v/>
      </c>
    </row>
    <row r="86" spans="1:26" ht="12.3" hidden="1">
      <c r="B86" s="31">
        <f>'Plant &amp; Fish Production'!F35</f>
        <v>0</v>
      </c>
      <c r="C86" s="106">
        <f>'Plant &amp; Fish Production'!G35</f>
        <v>0</v>
      </c>
      <c r="D86" s="107" t="str">
        <f>'Plant &amp; Fish Production'!H35</f>
        <v/>
      </c>
      <c r="E86" s="106">
        <f>'Plant &amp; Fish Production'!I35</f>
        <v>0</v>
      </c>
      <c r="F86" s="108" t="str">
        <f>'Plant &amp; Fish Production'!J35</f>
        <v/>
      </c>
      <c r="G86" s="109" t="str">
        <f>'Plant &amp; Fish Production'!K35</f>
        <v/>
      </c>
      <c r="H86" s="108">
        <f>'Plant &amp; Fish Production'!L35</f>
        <v>0</v>
      </c>
      <c r="I86" s="109" t="str">
        <f>'Plant &amp; Fish Production'!M35</f>
        <v/>
      </c>
      <c r="J86" s="107">
        <f>'Plant &amp; Fish Production'!N35</f>
        <v>0</v>
      </c>
      <c r="K86" s="109" t="str">
        <f>'Plant &amp; Fish Production'!O35</f>
        <v/>
      </c>
    </row>
    <row r="87" spans="1:26" ht="12.3" hidden="1">
      <c r="B87" s="31">
        <f>'Plant &amp; Fish Production'!F36</f>
        <v>0</v>
      </c>
      <c r="C87" s="106">
        <f>'Plant &amp; Fish Production'!G36</f>
        <v>0</v>
      </c>
      <c r="D87" s="107" t="str">
        <f>'Plant &amp; Fish Production'!H36</f>
        <v/>
      </c>
      <c r="E87" s="106">
        <f>'Plant &amp; Fish Production'!I36</f>
        <v>0</v>
      </c>
      <c r="F87" s="108" t="str">
        <f>'Plant &amp; Fish Production'!J36</f>
        <v/>
      </c>
      <c r="G87" s="109" t="str">
        <f>'Plant &amp; Fish Production'!K36</f>
        <v/>
      </c>
      <c r="H87" s="108">
        <f>'Plant &amp; Fish Production'!L36</f>
        <v>0</v>
      </c>
      <c r="I87" s="109" t="str">
        <f>'Plant &amp; Fish Production'!M36</f>
        <v/>
      </c>
      <c r="J87" s="107">
        <f>'Plant &amp; Fish Production'!N36</f>
        <v>0</v>
      </c>
      <c r="K87" s="109" t="str">
        <f>'Plant &amp; Fish Production'!O36</f>
        <v/>
      </c>
    </row>
    <row r="88" spans="1:26" ht="12.3" hidden="1">
      <c r="B88" s="31">
        <f>'Plant &amp; Fish Production'!F37</f>
        <v>0</v>
      </c>
      <c r="C88" s="106">
        <f>'Plant &amp; Fish Production'!G37</f>
        <v>0</v>
      </c>
      <c r="D88" s="107" t="str">
        <f>'Plant &amp; Fish Production'!H37</f>
        <v/>
      </c>
      <c r="E88" s="106">
        <f>'Plant &amp; Fish Production'!I37</f>
        <v>0</v>
      </c>
      <c r="F88" s="108" t="str">
        <f>'Plant &amp; Fish Production'!J37</f>
        <v/>
      </c>
      <c r="G88" s="109" t="str">
        <f>'Plant &amp; Fish Production'!K37</f>
        <v/>
      </c>
      <c r="H88" s="108">
        <f>'Plant &amp; Fish Production'!L37</f>
        <v>0</v>
      </c>
      <c r="I88" s="109" t="str">
        <f>'Plant &amp; Fish Production'!M37</f>
        <v/>
      </c>
      <c r="J88" s="107">
        <f>'Plant &amp; Fish Production'!N37</f>
        <v>0</v>
      </c>
      <c r="K88" s="109" t="str">
        <f>'Plant &amp; Fish Production'!O37</f>
        <v/>
      </c>
    </row>
    <row r="89" spans="1:26" ht="12.3" hidden="1">
      <c r="B89" s="31">
        <f>'Plant &amp; Fish Production'!F38</f>
        <v>0</v>
      </c>
      <c r="C89" s="106">
        <f>'Plant &amp; Fish Production'!G38</f>
        <v>0</v>
      </c>
      <c r="D89" s="107" t="str">
        <f>'Plant &amp; Fish Production'!H38</f>
        <v/>
      </c>
      <c r="E89" s="106">
        <f>'Plant &amp; Fish Production'!I38</f>
        <v>0</v>
      </c>
      <c r="F89" s="108" t="str">
        <f>'Plant &amp; Fish Production'!J38</f>
        <v/>
      </c>
      <c r="G89" s="109" t="str">
        <f>'Plant &amp; Fish Production'!K38</f>
        <v/>
      </c>
      <c r="H89" s="108">
        <f>'Plant &amp; Fish Production'!L38</f>
        <v>0</v>
      </c>
      <c r="I89" s="109" t="str">
        <f>'Plant &amp; Fish Production'!M38</f>
        <v/>
      </c>
      <c r="J89" s="107">
        <f>'Plant &amp; Fish Production'!N38</f>
        <v>0</v>
      </c>
      <c r="K89" s="109" t="str">
        <f>'Plant &amp; Fish Production'!O38</f>
        <v/>
      </c>
    </row>
    <row r="90" spans="1:26" ht="12.3" hidden="1">
      <c r="B90" s="31">
        <f>'Plant &amp; Fish Production'!F39</f>
        <v>0</v>
      </c>
      <c r="C90" s="106">
        <f>'Plant &amp; Fish Production'!G39</f>
        <v>0</v>
      </c>
      <c r="D90" s="107" t="str">
        <f>'Plant &amp; Fish Production'!H39</f>
        <v/>
      </c>
      <c r="E90" s="106">
        <f>'Plant &amp; Fish Production'!I39</f>
        <v>0</v>
      </c>
      <c r="F90" s="108" t="str">
        <f>'Plant &amp; Fish Production'!J39</f>
        <v/>
      </c>
      <c r="G90" s="109" t="str">
        <f>'Plant &amp; Fish Production'!K39</f>
        <v/>
      </c>
      <c r="H90" s="108">
        <f>'Plant &amp; Fish Production'!L39</f>
        <v>0</v>
      </c>
      <c r="I90" s="109" t="str">
        <f>'Plant &amp; Fish Production'!M39</f>
        <v/>
      </c>
      <c r="J90" s="107">
        <f>'Plant &amp; Fish Production'!N39</f>
        <v>0</v>
      </c>
      <c r="K90" s="109" t="str">
        <f>'Plant &amp; Fish Production'!O39</f>
        <v/>
      </c>
    </row>
    <row r="91" spans="1:26" ht="12.3" hidden="1">
      <c r="B91" s="31">
        <f>'Plant &amp; Fish Production'!F40</f>
        <v>0</v>
      </c>
      <c r="C91" s="106">
        <f>'Plant &amp; Fish Production'!G40</f>
        <v>0</v>
      </c>
      <c r="D91" s="107" t="str">
        <f>'Plant &amp; Fish Production'!H40</f>
        <v/>
      </c>
      <c r="E91" s="106">
        <f>'Plant &amp; Fish Production'!I40</f>
        <v>0</v>
      </c>
      <c r="F91" s="108" t="str">
        <f>'Plant &amp; Fish Production'!J40</f>
        <v/>
      </c>
      <c r="G91" s="109" t="str">
        <f>'Plant &amp; Fish Production'!K40</f>
        <v/>
      </c>
      <c r="H91" s="108">
        <f>'Plant &amp; Fish Production'!L40</f>
        <v>0</v>
      </c>
      <c r="I91" s="109" t="str">
        <f>'Plant &amp; Fish Production'!M40</f>
        <v/>
      </c>
      <c r="J91" s="107">
        <f>'Plant &amp; Fish Production'!N40</f>
        <v>0</v>
      </c>
      <c r="K91" s="109" t="str">
        <f>'Plant &amp; Fish Production'!O40</f>
        <v/>
      </c>
    </row>
    <row r="92" spans="1:26" ht="12.3" hidden="1">
      <c r="B92" s="31">
        <f>'Plant &amp; Fish Production'!F41</f>
        <v>0</v>
      </c>
      <c r="C92" s="106">
        <f>'Plant &amp; Fish Production'!G41</f>
        <v>0</v>
      </c>
      <c r="D92" s="107" t="str">
        <f>'Plant &amp; Fish Production'!H41</f>
        <v/>
      </c>
      <c r="E92" s="106">
        <f>'Plant &amp; Fish Production'!I41</f>
        <v>0</v>
      </c>
      <c r="F92" s="108" t="str">
        <f>'Plant &amp; Fish Production'!J41</f>
        <v/>
      </c>
      <c r="G92" s="109" t="str">
        <f>'Plant &amp; Fish Production'!K41</f>
        <v/>
      </c>
      <c r="H92" s="108">
        <f>'Plant &amp; Fish Production'!L41</f>
        <v>0</v>
      </c>
      <c r="I92" s="109" t="str">
        <f>'Plant &amp; Fish Production'!M41</f>
        <v/>
      </c>
      <c r="J92" s="107">
        <f>'Plant &amp; Fish Production'!N41</f>
        <v>0</v>
      </c>
      <c r="K92" s="109" t="str">
        <f>'Plant &amp; Fish Production'!O41</f>
        <v/>
      </c>
    </row>
    <row r="93" spans="1:26" ht="12.3">
      <c r="B93" s="68" t="str">
        <f>'Plant &amp; Fish Production'!F42</f>
        <v xml:space="preserve">Total Raft Boards </v>
      </c>
      <c r="C93" s="70">
        <f>'Plant &amp; Fish Production'!G42</f>
        <v>0</v>
      </c>
      <c r="D93" s="70">
        <f>'Plant &amp; Fish Production'!H42</f>
        <v>0</v>
      </c>
      <c r="E93" s="70">
        <f>'Plant &amp; Fish Production'!I42</f>
        <v>0</v>
      </c>
      <c r="F93" s="70">
        <f>'Plant &amp; Fish Production'!J42</f>
        <v>0</v>
      </c>
      <c r="G93" s="38">
        <f>SUM(G79:G83)</f>
        <v>0</v>
      </c>
      <c r="H93" s="79" t="str">
        <f>'Plant &amp; Fish Production'!L42</f>
        <v/>
      </c>
      <c r="I93" s="38">
        <f>'Plant &amp; Fish Production'!M42</f>
        <v>0</v>
      </c>
      <c r="J93" s="70">
        <f>'Plant &amp; Fish Production'!N42</f>
        <v>0</v>
      </c>
      <c r="K93" s="38">
        <f>'Plant &amp; Fish Production'!O42</f>
        <v>0</v>
      </c>
    </row>
    <row r="94" spans="1:26" ht="12.3">
      <c r="B94" s="13"/>
    </row>
    <row r="95" spans="1:26" ht="12.3">
      <c r="B95" s="13" t="s">
        <v>666</v>
      </c>
    </row>
    <row r="96" spans="1:26" ht="24.6">
      <c r="A96" s="45"/>
      <c r="B96" s="87" t="str">
        <f>'REV &amp; COGS'!A34</f>
        <v>Crops</v>
      </c>
      <c r="C96" s="88" t="str">
        <f>'REV &amp; COGS'!K34</f>
        <v>Product Sold by</v>
      </c>
      <c r="D96" s="88" t="str">
        <f>'REV &amp; COGS'!L34</f>
        <v>Packaging Type</v>
      </c>
      <c r="E96" s="88" t="str">
        <f>'REV &amp; COGS'!O34</f>
        <v>Units Sold</v>
      </c>
      <c r="F96" s="88" t="str">
        <f>'REV &amp; COGS'!Q34</f>
        <v>Sale $ per unit</v>
      </c>
      <c r="G96" s="88" t="str">
        <f>'REV &amp; COGS'!R34</f>
        <v>Oct - Mar Rev</v>
      </c>
      <c r="H96" s="88" t="str">
        <f>'REV &amp; COGS'!S34</f>
        <v>Avg Mth</v>
      </c>
      <c r="I96" s="45"/>
      <c r="J96" s="45"/>
      <c r="K96" s="45"/>
      <c r="L96" s="45"/>
      <c r="M96" s="45"/>
      <c r="N96" s="45"/>
      <c r="O96" s="45"/>
      <c r="P96" s="45"/>
      <c r="Q96" s="45"/>
      <c r="R96" s="45"/>
      <c r="S96" s="45"/>
      <c r="T96" s="45"/>
      <c r="U96" s="45"/>
      <c r="V96" s="45"/>
      <c r="W96" s="45"/>
      <c r="X96" s="45"/>
      <c r="Y96" s="45"/>
      <c r="Z96" s="45"/>
    </row>
    <row r="97" spans="2:8" ht="12.3">
      <c r="B97" s="31" t="str">
        <f>'REV &amp; COGS'!A35</f>
        <v>Romaine</v>
      </c>
      <c r="C97" s="106">
        <f>'REV &amp; COGS'!K35</f>
        <v>0</v>
      </c>
      <c r="D97" s="106">
        <f>'REV &amp; COGS'!L35</f>
        <v>0</v>
      </c>
      <c r="E97" s="110" t="str">
        <f>'REV &amp; COGS'!O35</f>
        <v/>
      </c>
      <c r="F97" s="49">
        <f>'REV &amp; COGS'!Q35</f>
        <v>0</v>
      </c>
      <c r="G97" s="71" t="str">
        <f>'REV &amp; COGS'!R35</f>
        <v/>
      </c>
      <c r="H97" s="71" t="str">
        <f>'REV &amp; COGS'!S35</f>
        <v/>
      </c>
    </row>
    <row r="98" spans="2:8" ht="12.3">
      <c r="B98" s="31" t="str">
        <f>'REV &amp; COGS'!A36</f>
        <v>Bibb Lettuce</v>
      </c>
      <c r="C98" s="106">
        <f>'REV &amp; COGS'!K36</f>
        <v>0</v>
      </c>
      <c r="D98" s="106">
        <f>'REV &amp; COGS'!L36</f>
        <v>0</v>
      </c>
      <c r="E98" s="110" t="str">
        <f>'REV &amp; COGS'!O36</f>
        <v/>
      </c>
      <c r="F98" s="49">
        <f>'REV &amp; COGS'!Q36</f>
        <v>0</v>
      </c>
      <c r="G98" s="71" t="str">
        <f>'REV &amp; COGS'!R36</f>
        <v/>
      </c>
      <c r="H98" s="71" t="str">
        <f>'REV &amp; COGS'!S36</f>
        <v/>
      </c>
    </row>
    <row r="99" spans="2:8" ht="12.3">
      <c r="B99" s="31" t="str">
        <f>'REV &amp; COGS'!A37</f>
        <v>Green Star</v>
      </c>
      <c r="C99" s="106">
        <f>'REV &amp; COGS'!K37</f>
        <v>0</v>
      </c>
      <c r="D99" s="106">
        <f>'REV &amp; COGS'!L37</f>
        <v>0</v>
      </c>
      <c r="E99" s="110" t="str">
        <f>'REV &amp; COGS'!O37</f>
        <v/>
      </c>
      <c r="F99" s="49">
        <f>'REV &amp; COGS'!Q37</f>
        <v>0</v>
      </c>
      <c r="G99" s="71" t="str">
        <f>'REV &amp; COGS'!R37</f>
        <v/>
      </c>
      <c r="H99" s="71" t="str">
        <f>'REV &amp; COGS'!S37</f>
        <v/>
      </c>
    </row>
    <row r="100" spans="2:8" ht="12.3">
      <c r="B100" s="31" t="str">
        <f>'REV &amp; COGS'!A38</f>
        <v>Mustard Greens</v>
      </c>
      <c r="C100" s="106">
        <f>'REV &amp; COGS'!K38</f>
        <v>0</v>
      </c>
      <c r="D100" s="106">
        <f>'REV &amp; COGS'!L38</f>
        <v>0</v>
      </c>
      <c r="E100" s="110" t="str">
        <f>'REV &amp; COGS'!O38</f>
        <v/>
      </c>
      <c r="F100" s="49">
        <f>'REV &amp; COGS'!Q38</f>
        <v>0</v>
      </c>
      <c r="G100" s="71" t="str">
        <f>'REV &amp; COGS'!R38</f>
        <v/>
      </c>
      <c r="H100" s="71" t="str">
        <f>'REV &amp; COGS'!S38</f>
        <v/>
      </c>
    </row>
    <row r="101" spans="2:8" ht="12.3">
      <c r="B101" s="31" t="str">
        <f>'REV &amp; COGS'!A39</f>
        <v>Red Russian Kale</v>
      </c>
      <c r="C101" s="106">
        <f>'REV &amp; COGS'!K39</f>
        <v>0</v>
      </c>
      <c r="D101" s="106">
        <f>'REV &amp; COGS'!L39</f>
        <v>0</v>
      </c>
      <c r="E101" s="110" t="str">
        <f>'REV &amp; COGS'!O39</f>
        <v/>
      </c>
      <c r="F101" s="49">
        <f>'REV &amp; COGS'!Q39</f>
        <v>0</v>
      </c>
      <c r="G101" s="71" t="str">
        <f>'REV &amp; COGS'!R39</f>
        <v/>
      </c>
      <c r="H101" s="71" t="str">
        <f>'REV &amp; COGS'!S39</f>
        <v/>
      </c>
    </row>
    <row r="102" spans="2:8" ht="12.3" hidden="1">
      <c r="B102" s="31" t="str">
        <f>'REV &amp; COGS'!A40</f>
        <v/>
      </c>
      <c r="C102" s="106">
        <f>'REV &amp; COGS'!K40</f>
        <v>0</v>
      </c>
      <c r="D102" s="106">
        <f>'REV &amp; COGS'!L40</f>
        <v>0</v>
      </c>
      <c r="E102" s="110" t="str">
        <f>'REV &amp; COGS'!O40</f>
        <v/>
      </c>
      <c r="F102" s="49">
        <f>'REV &amp; COGS'!Q40</f>
        <v>0</v>
      </c>
      <c r="G102" s="71" t="str">
        <f>'REV &amp; COGS'!R40</f>
        <v/>
      </c>
      <c r="H102" s="71" t="str">
        <f>'REV &amp; COGS'!S40</f>
        <v/>
      </c>
    </row>
    <row r="103" spans="2:8" ht="12.3" hidden="1">
      <c r="B103" s="31" t="str">
        <f>'REV &amp; COGS'!A41</f>
        <v/>
      </c>
      <c r="C103" s="106">
        <f>'REV &amp; COGS'!K41</f>
        <v>0</v>
      </c>
      <c r="D103" s="106">
        <f>'REV &amp; COGS'!L41</f>
        <v>0</v>
      </c>
      <c r="E103" s="110" t="str">
        <f>'REV &amp; COGS'!O41</f>
        <v/>
      </c>
      <c r="F103" s="49">
        <f>'REV &amp; COGS'!Q41</f>
        <v>0</v>
      </c>
      <c r="G103" s="71" t="str">
        <f>'REV &amp; COGS'!R41</f>
        <v/>
      </c>
      <c r="H103" s="71" t="str">
        <f>'REV &amp; COGS'!S41</f>
        <v/>
      </c>
    </row>
    <row r="104" spans="2:8" ht="12.3" hidden="1">
      <c r="B104" s="31" t="str">
        <f>'REV &amp; COGS'!A42</f>
        <v/>
      </c>
      <c r="C104" s="106">
        <f>'REV &amp; COGS'!K42</f>
        <v>0</v>
      </c>
      <c r="D104" s="106">
        <f>'REV &amp; COGS'!L42</f>
        <v>0</v>
      </c>
      <c r="E104" s="110" t="str">
        <f>'REV &amp; COGS'!O42</f>
        <v/>
      </c>
      <c r="F104" s="49">
        <f>'REV &amp; COGS'!Q42</f>
        <v>0</v>
      </c>
      <c r="G104" s="71" t="str">
        <f>'REV &amp; COGS'!R42</f>
        <v/>
      </c>
      <c r="H104" s="71" t="str">
        <f>'REV &amp; COGS'!S42</f>
        <v/>
      </c>
    </row>
    <row r="105" spans="2:8" ht="12.3" hidden="1">
      <c r="B105" s="31" t="str">
        <f>'REV &amp; COGS'!A43</f>
        <v/>
      </c>
      <c r="C105" s="106">
        <f>'REV &amp; COGS'!K43</f>
        <v>0</v>
      </c>
      <c r="D105" s="106">
        <f>'REV &amp; COGS'!L43</f>
        <v>0</v>
      </c>
      <c r="E105" s="110" t="str">
        <f>'REV &amp; COGS'!O43</f>
        <v/>
      </c>
      <c r="F105" s="49">
        <f>'REV &amp; COGS'!Q43</f>
        <v>0</v>
      </c>
      <c r="G105" s="71" t="str">
        <f>'REV &amp; COGS'!R43</f>
        <v/>
      </c>
      <c r="H105" s="71" t="str">
        <f>'REV &amp; COGS'!S43</f>
        <v/>
      </c>
    </row>
    <row r="106" spans="2:8" ht="12.3" hidden="1">
      <c r="B106" s="31" t="str">
        <f>'REV &amp; COGS'!A44</f>
        <v/>
      </c>
      <c r="C106" s="106">
        <f>'REV &amp; COGS'!K44</f>
        <v>0</v>
      </c>
      <c r="D106" s="106">
        <f>'REV &amp; COGS'!L44</f>
        <v>0</v>
      </c>
      <c r="E106" s="110" t="str">
        <f>'REV &amp; COGS'!O44</f>
        <v/>
      </c>
      <c r="F106" s="49">
        <f>'REV &amp; COGS'!Q44</f>
        <v>0</v>
      </c>
      <c r="G106" s="71" t="str">
        <f>'REV &amp; COGS'!R44</f>
        <v/>
      </c>
      <c r="H106" s="71" t="str">
        <f>'REV &amp; COGS'!S44</f>
        <v/>
      </c>
    </row>
    <row r="107" spans="2:8" ht="12.3" hidden="1">
      <c r="B107" s="31" t="str">
        <f>'REV &amp; COGS'!A45</f>
        <v/>
      </c>
      <c r="C107" s="106">
        <f>'REV &amp; COGS'!K45</f>
        <v>0</v>
      </c>
      <c r="D107" s="106">
        <f>'REV &amp; COGS'!L45</f>
        <v>0</v>
      </c>
      <c r="E107" s="110" t="str">
        <f>'REV &amp; COGS'!O45</f>
        <v/>
      </c>
      <c r="F107" s="49">
        <f>'REV &amp; COGS'!Q45</f>
        <v>0</v>
      </c>
      <c r="G107" s="71" t="str">
        <f>'REV &amp; COGS'!R45</f>
        <v/>
      </c>
      <c r="H107" s="71" t="str">
        <f>'REV &amp; COGS'!S45</f>
        <v/>
      </c>
    </row>
    <row r="108" spans="2:8" ht="12.3" hidden="1">
      <c r="B108" s="31" t="str">
        <f>'REV &amp; COGS'!A46</f>
        <v/>
      </c>
      <c r="C108" s="106">
        <f>'REV &amp; COGS'!K46</f>
        <v>0</v>
      </c>
      <c r="D108" s="106">
        <f>'REV &amp; COGS'!L46</f>
        <v>0</v>
      </c>
      <c r="E108" s="110" t="str">
        <f>'REV &amp; COGS'!O46</f>
        <v/>
      </c>
      <c r="F108" s="49">
        <f>'REV &amp; COGS'!Q46</f>
        <v>0</v>
      </c>
      <c r="G108" s="71" t="str">
        <f>'REV &amp; COGS'!R46</f>
        <v/>
      </c>
      <c r="H108" s="71" t="str">
        <f>'REV &amp; COGS'!S46</f>
        <v/>
      </c>
    </row>
    <row r="109" spans="2:8" ht="12.3" hidden="1">
      <c r="B109" s="31" t="str">
        <f>'REV &amp; COGS'!A47</f>
        <v/>
      </c>
      <c r="C109" s="106">
        <f>'REV &amp; COGS'!K47</f>
        <v>0</v>
      </c>
      <c r="D109" s="106">
        <f>'REV &amp; COGS'!L47</f>
        <v>0</v>
      </c>
      <c r="E109" s="110" t="str">
        <f>'REV &amp; COGS'!O47</f>
        <v/>
      </c>
      <c r="F109" s="49">
        <f>'REV &amp; COGS'!Q47</f>
        <v>0</v>
      </c>
      <c r="G109" s="71" t="str">
        <f>'REV &amp; COGS'!R47</f>
        <v/>
      </c>
      <c r="H109" s="71" t="str">
        <f>'REV &amp; COGS'!S47</f>
        <v/>
      </c>
    </row>
    <row r="110" spans="2:8" ht="12.3" hidden="1">
      <c r="B110" s="31" t="str">
        <f>'REV &amp; COGS'!A48</f>
        <v/>
      </c>
      <c r="C110" s="106">
        <f>'REV &amp; COGS'!K48</f>
        <v>0</v>
      </c>
      <c r="D110" s="106">
        <f>'REV &amp; COGS'!L48</f>
        <v>0</v>
      </c>
      <c r="E110" s="110" t="str">
        <f>'REV &amp; COGS'!O48</f>
        <v/>
      </c>
      <c r="F110" s="49">
        <f>'REV &amp; COGS'!Q48</f>
        <v>0</v>
      </c>
      <c r="G110" s="71" t="str">
        <f>'REV &amp; COGS'!R48</f>
        <v/>
      </c>
      <c r="H110" s="71" t="str">
        <f>'REV &amp; COGS'!S48</f>
        <v/>
      </c>
    </row>
    <row r="111" spans="2:8" ht="12.3">
      <c r="B111" s="68" t="str">
        <f>'REV &amp; COGS'!A49</f>
        <v>Totals</v>
      </c>
      <c r="C111" s="70">
        <f>'REV &amp; COGS'!K49</f>
        <v>0</v>
      </c>
      <c r="D111" s="70">
        <f>'REV &amp; COGS'!L49</f>
        <v>0</v>
      </c>
      <c r="E111" s="85">
        <f>'REV &amp; COGS'!O49</f>
        <v>0</v>
      </c>
      <c r="F111" s="70">
        <f>'REV &amp; COGS'!Q49</f>
        <v>0</v>
      </c>
      <c r="G111" s="86">
        <f>'REV &amp; COGS'!R49</f>
        <v>0</v>
      </c>
      <c r="H111" s="86">
        <f>'REV &amp; COGS'!S49</f>
        <v>0</v>
      </c>
    </row>
    <row r="112" spans="2:8" ht="12.3">
      <c r="B112" s="3"/>
      <c r="C112" s="41"/>
      <c r="D112" s="41"/>
      <c r="E112" s="41"/>
      <c r="F112" s="41"/>
    </row>
    <row r="113" spans="1:26" ht="12.3">
      <c r="B113" s="22" t="s">
        <v>667</v>
      </c>
      <c r="C113" s="41"/>
      <c r="D113" s="41"/>
      <c r="E113" s="41"/>
      <c r="F113" s="41"/>
    </row>
    <row r="114" spans="1:26" ht="36.9">
      <c r="A114" s="45"/>
      <c r="B114" s="87" t="str">
        <f>'REV &amp; COGS'!A34</f>
        <v>Crops</v>
      </c>
      <c r="C114" s="88" t="str">
        <f>'REV &amp; COGS'!B34</f>
        <v>Seed cost per plant</v>
      </c>
      <c r="D114" s="88" t="str">
        <f>'REV &amp; COGS'!C34</f>
        <v>Cost per starter plug</v>
      </c>
      <c r="E114" s="88" t="str">
        <f>'REV &amp; COGS'!D34</f>
        <v>Seeding Cost per plant</v>
      </c>
      <c r="F114" s="88" t="str">
        <f>'REV &amp; COGS'!E34</f>
        <v>Plants Sewn</v>
      </c>
      <c r="G114" s="88" t="str">
        <f>'REV &amp; COGS'!F34</f>
        <v>Total Cost Plants</v>
      </c>
      <c r="H114" s="88" t="str">
        <f>'REV &amp; COGS'!G34</f>
        <v>Loss Rate</v>
      </c>
      <c r="I114" s="88" t="str">
        <f>'REV &amp; COGS'!H34</f>
        <v>Sellable Plants</v>
      </c>
      <c r="J114" s="45"/>
      <c r="K114" s="45"/>
      <c r="L114" s="45"/>
      <c r="M114" s="45"/>
      <c r="N114" s="45"/>
      <c r="O114" s="45"/>
      <c r="P114" s="45"/>
      <c r="Q114" s="45"/>
      <c r="R114" s="45"/>
      <c r="S114" s="45"/>
      <c r="T114" s="45"/>
      <c r="U114" s="45"/>
      <c r="V114" s="45"/>
      <c r="W114" s="45"/>
      <c r="X114" s="45"/>
      <c r="Y114" s="45"/>
      <c r="Z114" s="45"/>
    </row>
    <row r="115" spans="1:26" ht="12.3">
      <c r="B115" s="31" t="str">
        <f>'REV &amp; COGS'!A35</f>
        <v>Romaine</v>
      </c>
      <c r="C115" s="111">
        <f>'REV &amp; COGS'!B35</f>
        <v>0</v>
      </c>
      <c r="D115" s="111">
        <f>'REV &amp; COGS'!C35</f>
        <v>0</v>
      </c>
      <c r="E115" s="111" t="str">
        <f>'REV &amp; COGS'!D35</f>
        <v/>
      </c>
      <c r="F115" s="109" t="str">
        <f>'REV &amp; COGS'!E35</f>
        <v/>
      </c>
      <c r="G115" s="71" t="str">
        <f>'REV &amp; COGS'!F35</f>
        <v/>
      </c>
      <c r="H115" s="107" t="str">
        <f>'REV &amp; COGS'!G35</f>
        <v/>
      </c>
      <c r="I115" s="109" t="str">
        <f>'REV &amp; COGS'!H35</f>
        <v/>
      </c>
    </row>
    <row r="116" spans="1:26" ht="12.3">
      <c r="B116" s="31" t="str">
        <f>'REV &amp; COGS'!A36</f>
        <v>Bibb Lettuce</v>
      </c>
      <c r="C116" s="49">
        <f>'REV &amp; COGS'!B36</f>
        <v>0</v>
      </c>
      <c r="D116" s="49">
        <f>'REV &amp; COGS'!C36</f>
        <v>0</v>
      </c>
      <c r="E116" s="49" t="str">
        <f>'REV &amp; COGS'!D36</f>
        <v/>
      </c>
      <c r="F116" s="109" t="str">
        <f>'REV &amp; COGS'!E36</f>
        <v/>
      </c>
      <c r="G116" s="71" t="str">
        <f>'REV &amp; COGS'!F36</f>
        <v/>
      </c>
      <c r="H116" s="107" t="str">
        <f>'REV &amp; COGS'!G36</f>
        <v/>
      </c>
      <c r="I116" s="109" t="str">
        <f>'REV &amp; COGS'!H36</f>
        <v/>
      </c>
    </row>
    <row r="117" spans="1:26" ht="12.3">
      <c r="B117" s="31" t="str">
        <f>'REV &amp; COGS'!A37</f>
        <v>Green Star</v>
      </c>
      <c r="C117" s="49">
        <f>'REV &amp; COGS'!B37</f>
        <v>0</v>
      </c>
      <c r="D117" s="49">
        <f>'REV &amp; COGS'!C37</f>
        <v>0</v>
      </c>
      <c r="E117" s="49" t="str">
        <f>'REV &amp; COGS'!D37</f>
        <v/>
      </c>
      <c r="F117" s="109" t="str">
        <f>'REV &amp; COGS'!E37</f>
        <v/>
      </c>
      <c r="G117" s="71" t="str">
        <f>'REV &amp; COGS'!F37</f>
        <v/>
      </c>
      <c r="H117" s="107" t="str">
        <f>'REV &amp; COGS'!G37</f>
        <v/>
      </c>
      <c r="I117" s="109" t="str">
        <f>'REV &amp; COGS'!H37</f>
        <v/>
      </c>
    </row>
    <row r="118" spans="1:26" ht="12.3">
      <c r="B118" s="31" t="str">
        <f>'REV &amp; COGS'!A38</f>
        <v>Mustard Greens</v>
      </c>
      <c r="C118" s="49">
        <f>'REV &amp; COGS'!B38</f>
        <v>0</v>
      </c>
      <c r="D118" s="49">
        <f>'REV &amp; COGS'!C38</f>
        <v>0</v>
      </c>
      <c r="E118" s="49" t="str">
        <f>'REV &amp; COGS'!D38</f>
        <v/>
      </c>
      <c r="F118" s="109" t="str">
        <f>'REV &amp; COGS'!E38</f>
        <v/>
      </c>
      <c r="G118" s="71" t="str">
        <f>'REV &amp; COGS'!F38</f>
        <v/>
      </c>
      <c r="H118" s="107" t="str">
        <f>'REV &amp; COGS'!G38</f>
        <v/>
      </c>
      <c r="I118" s="109" t="str">
        <f>'REV &amp; COGS'!H38</f>
        <v/>
      </c>
    </row>
    <row r="119" spans="1:26" ht="12.3">
      <c r="B119" s="31" t="str">
        <f>'REV &amp; COGS'!A39</f>
        <v>Red Russian Kale</v>
      </c>
      <c r="C119" s="49">
        <f>'REV &amp; COGS'!B39</f>
        <v>0</v>
      </c>
      <c r="D119" s="49">
        <f>'REV &amp; COGS'!C39</f>
        <v>0</v>
      </c>
      <c r="E119" s="49" t="str">
        <f>'REV &amp; COGS'!D39</f>
        <v/>
      </c>
      <c r="F119" s="109" t="str">
        <f>'REV &amp; COGS'!E39</f>
        <v/>
      </c>
      <c r="G119" s="71" t="str">
        <f>'REV &amp; COGS'!F39</f>
        <v/>
      </c>
      <c r="H119" s="107" t="str">
        <f>'REV &amp; COGS'!G39</f>
        <v/>
      </c>
      <c r="I119" s="109" t="str">
        <f>'REV &amp; COGS'!H39</f>
        <v/>
      </c>
    </row>
    <row r="120" spans="1:26" ht="12.3" hidden="1">
      <c r="B120" s="31" t="str">
        <f>'REV &amp; COGS'!A40</f>
        <v/>
      </c>
      <c r="C120" s="49">
        <f>'REV &amp; COGS'!B40</f>
        <v>0</v>
      </c>
      <c r="D120" s="49">
        <f>'REV &amp; COGS'!C40</f>
        <v>0</v>
      </c>
      <c r="E120" s="49" t="str">
        <f>'REV &amp; COGS'!D40</f>
        <v/>
      </c>
      <c r="F120" s="109" t="str">
        <f>'REV &amp; COGS'!E40</f>
        <v/>
      </c>
      <c r="G120" s="71" t="str">
        <f>'REV &amp; COGS'!F40</f>
        <v/>
      </c>
      <c r="H120" s="107" t="str">
        <f>'REV &amp; COGS'!G40</f>
        <v/>
      </c>
      <c r="I120" s="109" t="str">
        <f>'REV &amp; COGS'!H40</f>
        <v/>
      </c>
    </row>
    <row r="121" spans="1:26" ht="12.3" hidden="1">
      <c r="B121" s="31" t="str">
        <f>'REV &amp; COGS'!A41</f>
        <v/>
      </c>
      <c r="C121" s="49">
        <f>'REV &amp; COGS'!B41</f>
        <v>0</v>
      </c>
      <c r="D121" s="49">
        <f>'REV &amp; COGS'!C41</f>
        <v>0</v>
      </c>
      <c r="E121" s="49" t="str">
        <f>'REV &amp; COGS'!D41</f>
        <v/>
      </c>
      <c r="F121" s="109" t="str">
        <f>'REV &amp; COGS'!E41</f>
        <v/>
      </c>
      <c r="G121" s="71" t="str">
        <f>'REV &amp; COGS'!F41</f>
        <v/>
      </c>
      <c r="H121" s="107" t="str">
        <f>'REV &amp; COGS'!G41</f>
        <v/>
      </c>
      <c r="I121" s="109" t="str">
        <f>'REV &amp; COGS'!H41</f>
        <v/>
      </c>
    </row>
    <row r="122" spans="1:26" ht="12.3" hidden="1">
      <c r="B122" s="31" t="str">
        <f>'REV &amp; COGS'!A42</f>
        <v/>
      </c>
      <c r="C122" s="49">
        <f>'REV &amp; COGS'!B42</f>
        <v>0</v>
      </c>
      <c r="D122" s="49">
        <f>'REV &amp; COGS'!C42</f>
        <v>0</v>
      </c>
      <c r="E122" s="49" t="str">
        <f>'REV &amp; COGS'!D42</f>
        <v/>
      </c>
      <c r="F122" s="109" t="str">
        <f>'REV &amp; COGS'!E42</f>
        <v/>
      </c>
      <c r="G122" s="71" t="str">
        <f>'REV &amp; COGS'!F42</f>
        <v/>
      </c>
      <c r="H122" s="107" t="str">
        <f>'REV &amp; COGS'!G42</f>
        <v/>
      </c>
      <c r="I122" s="109" t="str">
        <f>'REV &amp; COGS'!H42</f>
        <v/>
      </c>
    </row>
    <row r="123" spans="1:26" ht="12.3" hidden="1">
      <c r="B123" s="31" t="str">
        <f>'REV &amp; COGS'!A43</f>
        <v/>
      </c>
      <c r="C123" s="49">
        <f>'REV &amp; COGS'!B43</f>
        <v>0</v>
      </c>
      <c r="D123" s="49">
        <f>'REV &amp; COGS'!C43</f>
        <v>0</v>
      </c>
      <c r="E123" s="49" t="str">
        <f>'REV &amp; COGS'!D43</f>
        <v/>
      </c>
      <c r="F123" s="109" t="str">
        <f>'REV &amp; COGS'!E43</f>
        <v/>
      </c>
      <c r="G123" s="71" t="str">
        <f>'REV &amp; COGS'!F43</f>
        <v/>
      </c>
      <c r="H123" s="107" t="str">
        <f>'REV &amp; COGS'!G43</f>
        <v/>
      </c>
      <c r="I123" s="109" t="str">
        <f>'REV &amp; COGS'!H43</f>
        <v/>
      </c>
    </row>
    <row r="124" spans="1:26" ht="12.3" hidden="1">
      <c r="B124" s="31" t="str">
        <f>'REV &amp; COGS'!A44</f>
        <v/>
      </c>
      <c r="C124" s="49">
        <f>'REV &amp; COGS'!B44</f>
        <v>0</v>
      </c>
      <c r="D124" s="49">
        <f>'REV &amp; COGS'!C44</f>
        <v>0</v>
      </c>
      <c r="E124" s="49" t="str">
        <f>'REV &amp; COGS'!D44</f>
        <v/>
      </c>
      <c r="F124" s="109" t="str">
        <f>'REV &amp; COGS'!E44</f>
        <v/>
      </c>
      <c r="G124" s="71" t="str">
        <f>'REV &amp; COGS'!F44</f>
        <v/>
      </c>
      <c r="H124" s="107" t="str">
        <f>'REV &amp; COGS'!G44</f>
        <v/>
      </c>
      <c r="I124" s="109" t="str">
        <f>'REV &amp; COGS'!H44</f>
        <v/>
      </c>
    </row>
    <row r="125" spans="1:26" ht="12.3" hidden="1">
      <c r="B125" s="31" t="str">
        <f>'REV &amp; COGS'!A45</f>
        <v/>
      </c>
      <c r="C125" s="49">
        <f>'REV &amp; COGS'!B45</f>
        <v>0</v>
      </c>
      <c r="D125" s="49">
        <f>'REV &amp; COGS'!C45</f>
        <v>0</v>
      </c>
      <c r="E125" s="49" t="str">
        <f>'REV &amp; COGS'!D45</f>
        <v/>
      </c>
      <c r="F125" s="109" t="str">
        <f>'REV &amp; COGS'!E45</f>
        <v/>
      </c>
      <c r="G125" s="71" t="str">
        <f>'REV &amp; COGS'!F45</f>
        <v/>
      </c>
      <c r="H125" s="107" t="str">
        <f>'REV &amp; COGS'!G45</f>
        <v/>
      </c>
      <c r="I125" s="109" t="str">
        <f>'REV &amp; COGS'!H45</f>
        <v/>
      </c>
    </row>
    <row r="126" spans="1:26" ht="12.3" hidden="1">
      <c r="B126" s="31" t="str">
        <f>'REV &amp; COGS'!A46</f>
        <v/>
      </c>
      <c r="C126" s="49">
        <f>'REV &amp; COGS'!B46</f>
        <v>0</v>
      </c>
      <c r="D126" s="49">
        <f>'REV &amp; COGS'!C46</f>
        <v>0</v>
      </c>
      <c r="E126" s="49" t="str">
        <f>'REV &amp; COGS'!D46</f>
        <v/>
      </c>
      <c r="F126" s="109" t="str">
        <f>'REV &amp; COGS'!E46</f>
        <v/>
      </c>
      <c r="G126" s="71" t="str">
        <f>'REV &amp; COGS'!F46</f>
        <v/>
      </c>
      <c r="H126" s="107" t="str">
        <f>'REV &amp; COGS'!G46</f>
        <v/>
      </c>
      <c r="I126" s="109" t="str">
        <f>'REV &amp; COGS'!H46</f>
        <v/>
      </c>
    </row>
    <row r="127" spans="1:26" ht="12.3" hidden="1">
      <c r="B127" s="31" t="str">
        <f>'REV &amp; COGS'!A47</f>
        <v/>
      </c>
      <c r="C127" s="49">
        <f>'REV &amp; COGS'!B47</f>
        <v>0</v>
      </c>
      <c r="D127" s="49">
        <f>'REV &amp; COGS'!C47</f>
        <v>0</v>
      </c>
      <c r="E127" s="49" t="str">
        <f>'REV &amp; COGS'!D47</f>
        <v/>
      </c>
      <c r="F127" s="109" t="str">
        <f>'REV &amp; COGS'!E47</f>
        <v/>
      </c>
      <c r="G127" s="71" t="str">
        <f>'REV &amp; COGS'!F47</f>
        <v/>
      </c>
      <c r="H127" s="107" t="str">
        <f>'REV &amp; COGS'!G47</f>
        <v/>
      </c>
      <c r="I127" s="109" t="str">
        <f>'REV &amp; COGS'!H47</f>
        <v/>
      </c>
    </row>
    <row r="128" spans="1:26" ht="12.3" hidden="1">
      <c r="B128" s="31" t="str">
        <f>'REV &amp; COGS'!A48</f>
        <v/>
      </c>
      <c r="C128" s="49">
        <f>'REV &amp; COGS'!B48</f>
        <v>0</v>
      </c>
      <c r="D128" s="49">
        <f>'REV &amp; COGS'!C48</f>
        <v>0</v>
      </c>
      <c r="E128" s="49" t="str">
        <f>'REV &amp; COGS'!D48</f>
        <v/>
      </c>
      <c r="F128" s="109" t="str">
        <f>'REV &amp; COGS'!E48</f>
        <v/>
      </c>
      <c r="G128" s="71" t="str">
        <f>'REV &amp; COGS'!F48</f>
        <v/>
      </c>
      <c r="H128" s="107" t="str">
        <f>'REV &amp; COGS'!G48</f>
        <v/>
      </c>
      <c r="I128" s="109" t="str">
        <f>'REV &amp; COGS'!H48</f>
        <v/>
      </c>
    </row>
    <row r="129" spans="1:26" ht="12.3">
      <c r="B129" s="68" t="str">
        <f>'REV &amp; COGS'!A49</f>
        <v>Totals</v>
      </c>
      <c r="C129" s="70">
        <f>'REV &amp; COGS'!B49</f>
        <v>0</v>
      </c>
      <c r="D129" s="70">
        <f>'REV &amp; COGS'!C49</f>
        <v>0</v>
      </c>
      <c r="E129" s="70">
        <f>'REV &amp; COGS'!D49</f>
        <v>0</v>
      </c>
      <c r="F129" s="38">
        <f>'REV &amp; COGS'!E49</f>
        <v>0</v>
      </c>
      <c r="G129" s="86">
        <f>'REV &amp; COGS'!F49</f>
        <v>0</v>
      </c>
      <c r="H129" s="70">
        <f>'REV &amp; COGS'!G49</f>
        <v>0</v>
      </c>
      <c r="I129" s="38">
        <f>'REV &amp; COGS'!H49</f>
        <v>0</v>
      </c>
    </row>
    <row r="130" spans="1:26" ht="12.3">
      <c r="B130" s="3">
        <f>'REV &amp; COGS'!A50</f>
        <v>0</v>
      </c>
      <c r="C130" s="41"/>
      <c r="D130" s="41"/>
      <c r="E130" s="41"/>
      <c r="F130" s="41"/>
    </row>
    <row r="131" spans="1:26" ht="12.3">
      <c r="B131" s="22" t="s">
        <v>668</v>
      </c>
      <c r="C131" s="41"/>
      <c r="D131" s="41"/>
      <c r="E131" s="41"/>
      <c r="F131" s="41"/>
    </row>
    <row r="132" spans="1:26" ht="36.9">
      <c r="A132" s="45"/>
      <c r="B132" s="87" t="str">
        <f>'REV &amp; COGS'!A34</f>
        <v>Crops</v>
      </c>
      <c r="C132" s="88" t="str">
        <f>'REV &amp; COGS'!K34</f>
        <v>Product Sold by</v>
      </c>
      <c r="D132" s="88" t="str">
        <f>'REV &amp; COGS'!L34</f>
        <v>Packaging Type</v>
      </c>
      <c r="E132" s="88" t="str">
        <f>'REV &amp; COGS'!M34</f>
        <v>Packaging Cost per unit</v>
      </c>
      <c r="F132" s="88" t="str">
        <f>'REV &amp; COGS'!N34</f>
        <v>Variable cost per unit</v>
      </c>
      <c r="G132" s="88" t="str">
        <f>'REV &amp; COGS'!O34</f>
        <v>Units Sold</v>
      </c>
      <c r="H132" s="88" t="str">
        <f>'REV &amp; COGS'!P34</f>
        <v>Total packaging cost</v>
      </c>
      <c r="I132" s="112"/>
      <c r="J132" s="45"/>
      <c r="K132" s="45"/>
      <c r="L132" s="45"/>
      <c r="M132" s="45"/>
      <c r="N132" s="45"/>
      <c r="O132" s="45"/>
      <c r="P132" s="45"/>
      <c r="Q132" s="45"/>
      <c r="R132" s="45"/>
      <c r="S132" s="45"/>
      <c r="T132" s="45"/>
      <c r="U132" s="45"/>
      <c r="V132" s="45"/>
      <c r="W132" s="45"/>
      <c r="X132" s="45"/>
      <c r="Y132" s="45"/>
      <c r="Z132" s="45"/>
    </row>
    <row r="133" spans="1:26" ht="12.3">
      <c r="B133" s="31" t="str">
        <f>'REV &amp; COGS'!A35</f>
        <v>Romaine</v>
      </c>
      <c r="C133" s="106">
        <f>'REV &amp; COGS'!K35</f>
        <v>0</v>
      </c>
      <c r="D133" s="106">
        <f>'REV &amp; COGS'!L35</f>
        <v>0</v>
      </c>
      <c r="E133" s="49" t="str">
        <f>'REV &amp; COGS'!M35</f>
        <v/>
      </c>
      <c r="F133" s="49" t="str">
        <f>'REV &amp; COGS'!N35</f>
        <v/>
      </c>
      <c r="G133" s="110" t="str">
        <f>'REV &amp; COGS'!O35</f>
        <v/>
      </c>
      <c r="H133" s="113" t="str">
        <f>'REV &amp; COGS'!P35</f>
        <v/>
      </c>
    </row>
    <row r="134" spans="1:26" ht="12.3">
      <c r="B134" s="31" t="str">
        <f>'REV &amp; COGS'!A36</f>
        <v>Bibb Lettuce</v>
      </c>
      <c r="C134" s="106">
        <f>'REV &amp; COGS'!K36</f>
        <v>0</v>
      </c>
      <c r="D134" s="106">
        <f>'REV &amp; COGS'!L36</f>
        <v>0</v>
      </c>
      <c r="E134" s="49" t="str">
        <f>'REV &amp; COGS'!M36</f>
        <v/>
      </c>
      <c r="F134" s="49" t="str">
        <f>'REV &amp; COGS'!N36</f>
        <v/>
      </c>
      <c r="G134" s="110" t="str">
        <f>'REV &amp; COGS'!O36</f>
        <v/>
      </c>
      <c r="H134" s="113" t="str">
        <f>'REV &amp; COGS'!P36</f>
        <v/>
      </c>
    </row>
    <row r="135" spans="1:26" ht="12.3">
      <c r="B135" s="31" t="str">
        <f>'REV &amp; COGS'!A37</f>
        <v>Green Star</v>
      </c>
      <c r="C135" s="106">
        <f>'REV &amp; COGS'!K37</f>
        <v>0</v>
      </c>
      <c r="D135" s="106">
        <f>'REV &amp; COGS'!L37</f>
        <v>0</v>
      </c>
      <c r="E135" s="49" t="str">
        <f>'REV &amp; COGS'!M37</f>
        <v/>
      </c>
      <c r="F135" s="49" t="str">
        <f>'REV &amp; COGS'!N37</f>
        <v/>
      </c>
      <c r="G135" s="110" t="str">
        <f>'REV &amp; COGS'!O37</f>
        <v/>
      </c>
      <c r="H135" s="113" t="str">
        <f>'REV &amp; COGS'!P37</f>
        <v/>
      </c>
    </row>
    <row r="136" spans="1:26" ht="12.3">
      <c r="B136" s="31" t="str">
        <f>'REV &amp; COGS'!A38</f>
        <v>Mustard Greens</v>
      </c>
      <c r="C136" s="106">
        <f>'REV &amp; COGS'!K38</f>
        <v>0</v>
      </c>
      <c r="D136" s="106">
        <f>'REV &amp; COGS'!L38</f>
        <v>0</v>
      </c>
      <c r="E136" s="49" t="str">
        <f>'REV &amp; COGS'!M38</f>
        <v/>
      </c>
      <c r="F136" s="49" t="str">
        <f>'REV &amp; COGS'!N38</f>
        <v/>
      </c>
      <c r="G136" s="110" t="str">
        <f>'REV &amp; COGS'!O38</f>
        <v/>
      </c>
      <c r="H136" s="113" t="str">
        <f>'REV &amp; COGS'!P38</f>
        <v/>
      </c>
    </row>
    <row r="137" spans="1:26" ht="12.3">
      <c r="B137" s="31" t="str">
        <f>'REV &amp; COGS'!A39</f>
        <v>Red Russian Kale</v>
      </c>
      <c r="C137" s="106">
        <f>'REV &amp; COGS'!K39</f>
        <v>0</v>
      </c>
      <c r="D137" s="106">
        <f>'REV &amp; COGS'!L39</f>
        <v>0</v>
      </c>
      <c r="E137" s="49" t="str">
        <f>'REV &amp; COGS'!M39</f>
        <v/>
      </c>
      <c r="F137" s="49" t="str">
        <f>'REV &amp; COGS'!N39</f>
        <v/>
      </c>
      <c r="G137" s="110" t="str">
        <f>'REV &amp; COGS'!O39</f>
        <v/>
      </c>
      <c r="H137" s="113" t="str">
        <f>'REV &amp; COGS'!P39</f>
        <v/>
      </c>
    </row>
    <row r="138" spans="1:26" ht="12.3" hidden="1">
      <c r="B138" s="31" t="str">
        <f>'REV &amp; COGS'!A40</f>
        <v/>
      </c>
      <c r="C138" s="106">
        <f>'REV &amp; COGS'!K40</f>
        <v>0</v>
      </c>
      <c r="D138" s="106">
        <f>'REV &amp; COGS'!L40</f>
        <v>0</v>
      </c>
      <c r="E138" s="49" t="str">
        <f>'REV &amp; COGS'!M40</f>
        <v/>
      </c>
      <c r="F138" s="49" t="str">
        <f>'REV &amp; COGS'!N40</f>
        <v/>
      </c>
      <c r="G138" s="110" t="str">
        <f>'REV &amp; COGS'!O40</f>
        <v/>
      </c>
      <c r="H138" s="113" t="str">
        <f>'REV &amp; COGS'!P40</f>
        <v/>
      </c>
    </row>
    <row r="139" spans="1:26" ht="12.3" hidden="1">
      <c r="B139" s="31" t="str">
        <f>'REV &amp; COGS'!A41</f>
        <v/>
      </c>
      <c r="C139" s="106">
        <f>'REV &amp; COGS'!K41</f>
        <v>0</v>
      </c>
      <c r="D139" s="106">
        <f>'REV &amp; COGS'!L41</f>
        <v>0</v>
      </c>
      <c r="E139" s="49" t="str">
        <f>'REV &amp; COGS'!M41</f>
        <v/>
      </c>
      <c r="F139" s="49" t="str">
        <f>'REV &amp; COGS'!N41</f>
        <v/>
      </c>
      <c r="G139" s="110" t="str">
        <f>'REV &amp; COGS'!O41</f>
        <v/>
      </c>
      <c r="H139" s="113" t="str">
        <f>'REV &amp; COGS'!P41</f>
        <v/>
      </c>
    </row>
    <row r="140" spans="1:26" ht="12.3" hidden="1">
      <c r="B140" s="31" t="str">
        <f>'REV &amp; COGS'!A42</f>
        <v/>
      </c>
      <c r="C140" s="106">
        <f>'REV &amp; COGS'!K42</f>
        <v>0</v>
      </c>
      <c r="D140" s="106">
        <f>'REV &amp; COGS'!L42</f>
        <v>0</v>
      </c>
      <c r="E140" s="49" t="str">
        <f>'REV &amp; COGS'!M42</f>
        <v/>
      </c>
      <c r="F140" s="49" t="str">
        <f>'REV &amp; COGS'!N42</f>
        <v/>
      </c>
      <c r="G140" s="110" t="str">
        <f>'REV &amp; COGS'!O42</f>
        <v/>
      </c>
      <c r="H140" s="113" t="str">
        <f>'REV &amp; COGS'!P42</f>
        <v/>
      </c>
    </row>
    <row r="141" spans="1:26" ht="12.3" hidden="1">
      <c r="B141" s="31" t="str">
        <f>'REV &amp; COGS'!A43</f>
        <v/>
      </c>
      <c r="C141" s="106">
        <f>'REV &amp; COGS'!K43</f>
        <v>0</v>
      </c>
      <c r="D141" s="106">
        <f>'REV &amp; COGS'!L43</f>
        <v>0</v>
      </c>
      <c r="E141" s="49" t="str">
        <f>'REV &amp; COGS'!M43</f>
        <v/>
      </c>
      <c r="F141" s="49" t="str">
        <f>'REV &amp; COGS'!N43</f>
        <v/>
      </c>
      <c r="G141" s="110" t="str">
        <f>'REV &amp; COGS'!O43</f>
        <v/>
      </c>
      <c r="H141" s="113" t="str">
        <f>'REV &amp; COGS'!P43</f>
        <v/>
      </c>
    </row>
    <row r="142" spans="1:26" ht="12.3" hidden="1">
      <c r="B142" s="31" t="str">
        <f>'REV &amp; COGS'!A44</f>
        <v/>
      </c>
      <c r="C142" s="106">
        <f>'REV &amp; COGS'!K44</f>
        <v>0</v>
      </c>
      <c r="D142" s="106">
        <f>'REV &amp; COGS'!L44</f>
        <v>0</v>
      </c>
      <c r="E142" s="49" t="str">
        <f>'REV &amp; COGS'!M44</f>
        <v/>
      </c>
      <c r="F142" s="49" t="str">
        <f>'REV &amp; COGS'!N44</f>
        <v/>
      </c>
      <c r="G142" s="110" t="str">
        <f>'REV &amp; COGS'!O44</f>
        <v/>
      </c>
      <c r="H142" s="113" t="str">
        <f>'REV &amp; COGS'!P44</f>
        <v/>
      </c>
    </row>
    <row r="143" spans="1:26" ht="12.3" hidden="1">
      <c r="B143" s="31" t="str">
        <f>'REV &amp; COGS'!A45</f>
        <v/>
      </c>
      <c r="C143" s="106">
        <f>'REV &amp; COGS'!K45</f>
        <v>0</v>
      </c>
      <c r="D143" s="106">
        <f>'REV &amp; COGS'!L45</f>
        <v>0</v>
      </c>
      <c r="E143" s="49" t="str">
        <f>'REV &amp; COGS'!M45</f>
        <v/>
      </c>
      <c r="F143" s="49" t="str">
        <f>'REV &amp; COGS'!N45</f>
        <v/>
      </c>
      <c r="G143" s="110" t="str">
        <f>'REV &amp; COGS'!O45</f>
        <v/>
      </c>
      <c r="H143" s="113" t="str">
        <f>'REV &amp; COGS'!P45</f>
        <v/>
      </c>
    </row>
    <row r="144" spans="1:26" ht="12.3" hidden="1">
      <c r="B144" s="31" t="str">
        <f>'REV &amp; COGS'!A46</f>
        <v/>
      </c>
      <c r="C144" s="106">
        <f>'REV &amp; COGS'!K46</f>
        <v>0</v>
      </c>
      <c r="D144" s="106">
        <f>'REV &amp; COGS'!L46</f>
        <v>0</v>
      </c>
      <c r="E144" s="49" t="str">
        <f>'REV &amp; COGS'!M46</f>
        <v/>
      </c>
      <c r="F144" s="49" t="str">
        <f>'REV &amp; COGS'!N46</f>
        <v/>
      </c>
      <c r="G144" s="110" t="str">
        <f>'REV &amp; COGS'!O46</f>
        <v/>
      </c>
      <c r="H144" s="113" t="str">
        <f>'REV &amp; COGS'!P46</f>
        <v/>
      </c>
    </row>
    <row r="145" spans="1:26" ht="12.3" hidden="1">
      <c r="B145" s="31" t="str">
        <f>'REV &amp; COGS'!A47</f>
        <v/>
      </c>
      <c r="C145" s="106">
        <f>'REV &amp; COGS'!K47</f>
        <v>0</v>
      </c>
      <c r="D145" s="106">
        <f>'REV &amp; COGS'!L47</f>
        <v>0</v>
      </c>
      <c r="E145" s="49" t="str">
        <f>'REV &amp; COGS'!M47</f>
        <v/>
      </c>
      <c r="F145" s="49" t="str">
        <f>'REV &amp; COGS'!N47</f>
        <v/>
      </c>
      <c r="G145" s="110" t="str">
        <f>'REV &amp; COGS'!O47</f>
        <v/>
      </c>
      <c r="H145" s="113" t="str">
        <f>'REV &amp; COGS'!P47</f>
        <v/>
      </c>
    </row>
    <row r="146" spans="1:26" ht="12.3" hidden="1">
      <c r="B146" s="31" t="str">
        <f>'REV &amp; COGS'!A48</f>
        <v/>
      </c>
      <c r="C146" s="106">
        <f>'REV &amp; COGS'!K48</f>
        <v>0</v>
      </c>
      <c r="D146" s="106">
        <f>'REV &amp; COGS'!L48</f>
        <v>0</v>
      </c>
      <c r="E146" s="49" t="str">
        <f>'REV &amp; COGS'!M48</f>
        <v/>
      </c>
      <c r="F146" s="49" t="str">
        <f>'REV &amp; COGS'!N48</f>
        <v/>
      </c>
      <c r="G146" s="110" t="str">
        <f>'REV &amp; COGS'!O48</f>
        <v/>
      </c>
      <c r="H146" s="113" t="str">
        <f>'REV &amp; COGS'!P48</f>
        <v/>
      </c>
    </row>
    <row r="147" spans="1:26" ht="12.3">
      <c r="B147" s="68" t="str">
        <f>'REV &amp; COGS'!A49</f>
        <v>Totals</v>
      </c>
      <c r="C147" s="70">
        <f>'REV &amp; COGS'!K49</f>
        <v>0</v>
      </c>
      <c r="D147" s="70">
        <f>'REV &amp; COGS'!L49</f>
        <v>0</v>
      </c>
      <c r="E147" s="70">
        <f>'REV &amp; COGS'!M49</f>
        <v>0</v>
      </c>
      <c r="F147" s="70">
        <f>'REV &amp; COGS'!N49</f>
        <v>0</v>
      </c>
      <c r="G147" s="85">
        <f>'REV &amp; COGS'!O49</f>
        <v>0</v>
      </c>
      <c r="H147" s="114">
        <f>'REV &amp; COGS'!P49</f>
        <v>0</v>
      </c>
    </row>
    <row r="148" spans="1:26" ht="12.3">
      <c r="B148" s="3">
        <f>'REV &amp; COGS'!A50</f>
        <v>0</v>
      </c>
      <c r="C148" s="41">
        <f>'REV &amp; COGS'!K50</f>
        <v>0</v>
      </c>
      <c r="D148" s="41">
        <f>'REV &amp; COGS'!L50</f>
        <v>0</v>
      </c>
      <c r="E148" s="41">
        <f>'REV &amp; COGS'!M50</f>
        <v>0</v>
      </c>
      <c r="F148" s="41">
        <f>'REV &amp; COGS'!N50</f>
        <v>0</v>
      </c>
      <c r="G148" s="41">
        <f>'REV &amp; COGS'!O50</f>
        <v>0</v>
      </c>
      <c r="H148" s="41">
        <f>'REV &amp; COGS'!P50</f>
        <v>0</v>
      </c>
    </row>
    <row r="149" spans="1:26" ht="12.3">
      <c r="B149" s="22" t="s">
        <v>669</v>
      </c>
      <c r="C149" s="41"/>
      <c r="D149" s="41"/>
      <c r="E149" s="41"/>
      <c r="F149" s="41"/>
      <c r="G149" s="41"/>
      <c r="H149" s="41"/>
    </row>
    <row r="150" spans="1:26" ht="12.3">
      <c r="B150" s="9" t="str">
        <f>'Summary Data'!H5</f>
        <v>Growing Environment</v>
      </c>
      <c r="C150" s="115" t="str">
        <f>'Summary Data'!I5</f>
        <v>Annual</v>
      </c>
      <c r="D150" s="115" t="str">
        <f>'Summary Data'!J5</f>
        <v>Monthly avg.</v>
      </c>
      <c r="E150" s="115" t="str">
        <f>'Summary Data'!K5</f>
        <v>Weekly avg.</v>
      </c>
      <c r="F150" s="115" t="str">
        <f>'Summary Data'!L5</f>
        <v>Total Lbs</v>
      </c>
      <c r="G150">
        <f>'Summary Data'!M5</f>
        <v>0</v>
      </c>
    </row>
    <row r="151" spans="1:26" ht="12.3">
      <c r="B151" s="10" t="str">
        <f>'Summary Data'!H6</f>
        <v>Growasis DWC (# of plants)</v>
      </c>
      <c r="C151" s="42">
        <f>'Summary Data'!I6</f>
        <v>19825.866666666665</v>
      </c>
      <c r="D151" s="42">
        <f>'Summary Data'!J6</f>
        <v>1652.1555555555553</v>
      </c>
      <c r="E151" s="42">
        <f>'Summary Data'!K6</f>
        <v>381.26666666666665</v>
      </c>
      <c r="F151" s="42">
        <f>'Summary Data'!L6</f>
        <v>2593.5</v>
      </c>
      <c r="G151">
        <f>'Summary Data'!M6</f>
        <v>0</v>
      </c>
    </row>
    <row r="153" spans="1:26" ht="12.3">
      <c r="B153" s="13" t="s">
        <v>670</v>
      </c>
    </row>
    <row r="154" spans="1:26" ht="49.2">
      <c r="A154" s="45"/>
      <c r="B154" s="74" t="str">
        <f>'Plant &amp; Fish Production'!F46</f>
        <v>Crops</v>
      </c>
      <c r="C154" s="75" t="str">
        <f>'Plant &amp; Fish Production'!G46</f>
        <v># of Beds</v>
      </c>
      <c r="D154" s="75" t="str">
        <f>'Plant &amp; Fish Production'!H46</f>
        <v>% of total</v>
      </c>
      <c r="E154" s="75" t="str">
        <f>'Plant &amp; Fish Production'!I46</f>
        <v>Plants per bed</v>
      </c>
      <c r="F154" s="75" t="str">
        <f>'Plant &amp; Fish Production'!J46</f>
        <v>Plant Density per ft2</v>
      </c>
      <c r="G154" s="75" t="str">
        <f>'Plant &amp; Fish Production'!K46</f>
        <v>Plantings per season</v>
      </c>
      <c r="H154" s="75" t="str">
        <f>'Plant &amp; Fish Production'!L46</f>
        <v>Total Plants</v>
      </c>
      <c r="I154" s="76" t="str">
        <f>'Plant &amp; Fish Production'!M46</f>
        <v>Avg. yield per plant in lbs</v>
      </c>
      <c r="J154" s="75" t="str">
        <f>'Plant &amp; Fish Production'!N46</f>
        <v>Total lbs</v>
      </c>
      <c r="K154" s="77" t="str">
        <f>'Plant &amp; Fish Production'!O46</f>
        <v>Loss Rate</v>
      </c>
      <c r="L154" s="75" t="str">
        <f>'Plant &amp; Fish Production'!P46</f>
        <v>Net lbs</v>
      </c>
      <c r="M154" s="45"/>
      <c r="N154" s="45"/>
      <c r="O154" s="45"/>
      <c r="P154" s="45"/>
      <c r="Q154" s="45"/>
      <c r="R154" s="45"/>
      <c r="S154" s="45"/>
      <c r="T154" s="45"/>
      <c r="U154" s="45"/>
      <c r="V154" s="45"/>
      <c r="W154" s="45"/>
      <c r="X154" s="45"/>
      <c r="Y154" s="45"/>
      <c r="Z154" s="45"/>
    </row>
    <row r="155" spans="1:26" ht="12.3">
      <c r="B155" s="10" t="str">
        <f>'Plant &amp; Fish Production'!F47</f>
        <v>Tomatoes</v>
      </c>
      <c r="C155" s="19">
        <f>'Plant &amp; Fish Production'!G47</f>
        <v>0</v>
      </c>
      <c r="D155" s="47" t="str">
        <f>'Plant &amp; Fish Production'!H47</f>
        <v/>
      </c>
      <c r="E155" s="19">
        <f>'Plant &amp; Fish Production'!I47</f>
        <v>0</v>
      </c>
      <c r="F155" s="78" t="str">
        <f>'Plant &amp; Fish Production'!J47</f>
        <v/>
      </c>
      <c r="G155" s="78">
        <f>'Plant &amp; Fish Production'!K47</f>
        <v>0</v>
      </c>
      <c r="H155" s="42" t="str">
        <f>'Plant &amp; Fish Production'!L47</f>
        <v/>
      </c>
      <c r="I155" s="78">
        <f>'Plant &amp; Fish Production'!M47</f>
        <v>0</v>
      </c>
      <c r="J155" s="42" t="str">
        <f>'Plant &amp; Fish Production'!N47</f>
        <v/>
      </c>
      <c r="K155" s="47">
        <f>'Plant &amp; Fish Production'!O47</f>
        <v>0</v>
      </c>
      <c r="L155" s="116" t="str">
        <f>'Plant &amp; Fish Production'!P47</f>
        <v/>
      </c>
    </row>
    <row r="156" spans="1:26" ht="12.3">
      <c r="B156" s="10" t="str">
        <f>'Plant &amp; Fish Production'!F48</f>
        <v>Squash</v>
      </c>
      <c r="C156" s="19">
        <f>'Plant &amp; Fish Production'!G48</f>
        <v>0</v>
      </c>
      <c r="D156" s="47" t="str">
        <f>'Plant &amp; Fish Production'!H48</f>
        <v/>
      </c>
      <c r="E156" s="19">
        <f>'Plant &amp; Fish Production'!I48</f>
        <v>0</v>
      </c>
      <c r="F156" s="78" t="str">
        <f>'Plant &amp; Fish Production'!J48</f>
        <v/>
      </c>
      <c r="G156" s="78">
        <f>'Plant &amp; Fish Production'!K48</f>
        <v>0</v>
      </c>
      <c r="H156" s="42" t="str">
        <f>'Plant &amp; Fish Production'!L48</f>
        <v/>
      </c>
      <c r="I156" s="78">
        <f>'Plant &amp; Fish Production'!M48</f>
        <v>0</v>
      </c>
      <c r="J156" s="42" t="str">
        <f>'Plant &amp; Fish Production'!N48</f>
        <v/>
      </c>
      <c r="K156" s="47">
        <f>'Plant &amp; Fish Production'!O48</f>
        <v>0</v>
      </c>
      <c r="L156" s="116" t="str">
        <f>'Plant &amp; Fish Production'!P48</f>
        <v/>
      </c>
    </row>
    <row r="157" spans="1:26" ht="12.3">
      <c r="B157" s="10" t="str">
        <f>'Plant &amp; Fish Production'!F49</f>
        <v>Peppers</v>
      </c>
      <c r="C157" s="19">
        <f>'Plant &amp; Fish Production'!G49</f>
        <v>0</v>
      </c>
      <c r="D157" s="47" t="str">
        <f>'Plant &amp; Fish Production'!H49</f>
        <v/>
      </c>
      <c r="E157" s="19">
        <f>'Plant &amp; Fish Production'!I49</f>
        <v>0</v>
      </c>
      <c r="F157" s="78" t="str">
        <f>'Plant &amp; Fish Production'!J49</f>
        <v/>
      </c>
      <c r="G157" s="78">
        <f>'Plant &amp; Fish Production'!K49</f>
        <v>0</v>
      </c>
      <c r="H157" s="42" t="str">
        <f>'Plant &amp; Fish Production'!L49</f>
        <v/>
      </c>
      <c r="I157" s="78">
        <f>'Plant &amp; Fish Production'!M49</f>
        <v>0</v>
      </c>
      <c r="J157" s="42" t="str">
        <f>'Plant &amp; Fish Production'!N49</f>
        <v/>
      </c>
      <c r="K157" s="47">
        <f>'Plant &amp; Fish Production'!O49</f>
        <v>0</v>
      </c>
      <c r="L157" s="116" t="str">
        <f>'Plant &amp; Fish Production'!P49</f>
        <v/>
      </c>
    </row>
    <row r="158" spans="1:26" ht="12.3">
      <c r="B158" s="10" t="str">
        <f>'Plant &amp; Fish Production'!F50</f>
        <v>Cucumbers</v>
      </c>
      <c r="C158" s="19">
        <f>'Plant &amp; Fish Production'!G50</f>
        <v>0</v>
      </c>
      <c r="D158" s="47" t="str">
        <f>'Plant &amp; Fish Production'!H50</f>
        <v/>
      </c>
      <c r="E158" s="19">
        <f>'Plant &amp; Fish Production'!I50</f>
        <v>0</v>
      </c>
      <c r="F158" s="78" t="str">
        <f>'Plant &amp; Fish Production'!J50</f>
        <v/>
      </c>
      <c r="G158" s="78">
        <f>'Plant &amp; Fish Production'!K50</f>
        <v>0</v>
      </c>
      <c r="H158" s="42" t="str">
        <f>'Plant &amp; Fish Production'!L50</f>
        <v/>
      </c>
      <c r="I158" s="78">
        <f>'Plant &amp; Fish Production'!M50</f>
        <v>0</v>
      </c>
      <c r="J158" s="42" t="str">
        <f>'Plant &amp; Fish Production'!N50</f>
        <v/>
      </c>
      <c r="K158" s="47">
        <f>'Plant &amp; Fish Production'!O50</f>
        <v>0</v>
      </c>
      <c r="L158" s="116" t="str">
        <f>'Plant &amp; Fish Production'!P50</f>
        <v/>
      </c>
    </row>
    <row r="159" spans="1:26" ht="12.3" hidden="1">
      <c r="B159" s="10">
        <f>'Plant &amp; Fish Production'!F51</f>
        <v>0</v>
      </c>
      <c r="C159" s="19">
        <f>'Plant &amp; Fish Production'!G51</f>
        <v>0</v>
      </c>
      <c r="D159" s="47" t="str">
        <f>'Plant &amp; Fish Production'!H51</f>
        <v/>
      </c>
      <c r="E159" s="19">
        <f>'Plant &amp; Fish Production'!I51</f>
        <v>0</v>
      </c>
      <c r="F159" s="78" t="str">
        <f>'Plant &amp; Fish Production'!J51</f>
        <v/>
      </c>
      <c r="G159" s="78">
        <f>'Plant &amp; Fish Production'!K51</f>
        <v>0</v>
      </c>
      <c r="H159" s="42" t="str">
        <f>'Plant &amp; Fish Production'!L51</f>
        <v/>
      </c>
      <c r="I159" s="78">
        <f>'Plant &amp; Fish Production'!M51</f>
        <v>0</v>
      </c>
      <c r="J159" s="42" t="str">
        <f>'Plant &amp; Fish Production'!N51</f>
        <v/>
      </c>
      <c r="K159" s="47">
        <f>'Plant &amp; Fish Production'!O51</f>
        <v>0</v>
      </c>
      <c r="L159" s="116" t="str">
        <f>'Plant &amp; Fish Production'!P51</f>
        <v/>
      </c>
    </row>
    <row r="160" spans="1:26" ht="12.3" hidden="1">
      <c r="B160" s="10">
        <f>'Plant &amp; Fish Production'!F52</f>
        <v>0</v>
      </c>
      <c r="C160" s="19">
        <f>'Plant &amp; Fish Production'!G52</f>
        <v>0</v>
      </c>
      <c r="D160" s="47" t="str">
        <f>'Plant &amp; Fish Production'!H52</f>
        <v/>
      </c>
      <c r="E160" s="19">
        <f>'Plant &amp; Fish Production'!I52</f>
        <v>0</v>
      </c>
      <c r="F160" s="78" t="str">
        <f>'Plant &amp; Fish Production'!J52</f>
        <v/>
      </c>
      <c r="G160" s="78">
        <f>'Plant &amp; Fish Production'!K52</f>
        <v>0</v>
      </c>
      <c r="H160" s="42" t="str">
        <f>'Plant &amp; Fish Production'!L52</f>
        <v/>
      </c>
      <c r="I160" s="78">
        <f>'Plant &amp; Fish Production'!M52</f>
        <v>0</v>
      </c>
      <c r="J160" s="42" t="str">
        <f>'Plant &amp; Fish Production'!N52</f>
        <v/>
      </c>
      <c r="K160" s="47">
        <f>'Plant &amp; Fish Production'!O52</f>
        <v>0</v>
      </c>
      <c r="L160" s="116" t="str">
        <f>'Plant &amp; Fish Production'!P52</f>
        <v/>
      </c>
    </row>
    <row r="161" spans="1:26" ht="12.3" hidden="1">
      <c r="B161" s="10">
        <f>'Plant &amp; Fish Production'!F53</f>
        <v>0</v>
      </c>
      <c r="C161" s="19">
        <f>'Plant &amp; Fish Production'!G53</f>
        <v>0</v>
      </c>
      <c r="D161" s="47" t="str">
        <f>'Plant &amp; Fish Production'!H53</f>
        <v/>
      </c>
      <c r="E161" s="19">
        <f>'Plant &amp; Fish Production'!I53</f>
        <v>0</v>
      </c>
      <c r="F161" s="78" t="str">
        <f>'Plant &amp; Fish Production'!J53</f>
        <v/>
      </c>
      <c r="G161" s="78">
        <f>'Plant &amp; Fish Production'!K53</f>
        <v>0</v>
      </c>
      <c r="H161" s="42" t="str">
        <f>'Plant &amp; Fish Production'!L53</f>
        <v/>
      </c>
      <c r="I161" s="78">
        <f>'Plant &amp; Fish Production'!M53</f>
        <v>0</v>
      </c>
      <c r="J161" s="42" t="str">
        <f>'Plant &amp; Fish Production'!N53</f>
        <v/>
      </c>
      <c r="K161" s="47">
        <f>'Plant &amp; Fish Production'!O53</f>
        <v>0</v>
      </c>
      <c r="L161" s="116" t="str">
        <f>'Plant &amp; Fish Production'!P53</f>
        <v/>
      </c>
    </row>
    <row r="162" spans="1:26" ht="12.3" hidden="1">
      <c r="B162" s="10">
        <f>'Plant &amp; Fish Production'!F54</f>
        <v>0</v>
      </c>
      <c r="C162" s="19">
        <f>'Plant &amp; Fish Production'!G54</f>
        <v>0</v>
      </c>
      <c r="D162" s="47" t="str">
        <f>'Plant &amp; Fish Production'!H54</f>
        <v/>
      </c>
      <c r="E162" s="19">
        <f>'Plant &amp; Fish Production'!I54</f>
        <v>0</v>
      </c>
      <c r="F162" s="78" t="str">
        <f>'Plant &amp; Fish Production'!J54</f>
        <v/>
      </c>
      <c r="G162" s="78">
        <f>'Plant &amp; Fish Production'!K54</f>
        <v>0</v>
      </c>
      <c r="H162" s="42" t="str">
        <f>'Plant &amp; Fish Production'!L54</f>
        <v/>
      </c>
      <c r="I162" s="78">
        <f>'Plant &amp; Fish Production'!M54</f>
        <v>0</v>
      </c>
      <c r="J162" s="42" t="str">
        <f>'Plant &amp; Fish Production'!N54</f>
        <v/>
      </c>
      <c r="K162" s="47">
        <f>'Plant &amp; Fish Production'!O54</f>
        <v>0</v>
      </c>
      <c r="L162" s="116" t="str">
        <f>'Plant &amp; Fish Production'!P54</f>
        <v/>
      </c>
    </row>
    <row r="163" spans="1:26" ht="12.3" hidden="1">
      <c r="B163" s="10">
        <f>'Plant &amp; Fish Production'!F55</f>
        <v>0</v>
      </c>
      <c r="C163" s="19">
        <f>'Plant &amp; Fish Production'!G55</f>
        <v>0</v>
      </c>
      <c r="D163" s="47" t="str">
        <f>'Plant &amp; Fish Production'!H55</f>
        <v/>
      </c>
      <c r="E163" s="19">
        <f>'Plant &amp; Fish Production'!I55</f>
        <v>0</v>
      </c>
      <c r="F163" s="78" t="str">
        <f>'Plant &amp; Fish Production'!J55</f>
        <v/>
      </c>
      <c r="G163" s="78">
        <f>'Plant &amp; Fish Production'!K55</f>
        <v>0</v>
      </c>
      <c r="H163" s="42" t="str">
        <f>'Plant &amp; Fish Production'!L55</f>
        <v/>
      </c>
      <c r="I163" s="78">
        <f>'Plant &amp; Fish Production'!M55</f>
        <v>0</v>
      </c>
      <c r="J163" s="42" t="str">
        <f>'Plant &amp; Fish Production'!N55</f>
        <v/>
      </c>
      <c r="K163" s="47">
        <f>'Plant &amp; Fish Production'!O55</f>
        <v>0</v>
      </c>
      <c r="L163" s="116" t="str">
        <f>'Plant &amp; Fish Production'!P55</f>
        <v/>
      </c>
    </row>
    <row r="164" spans="1:26" ht="12.3" hidden="1">
      <c r="B164" s="10">
        <f>'Plant &amp; Fish Production'!F56</f>
        <v>0</v>
      </c>
      <c r="C164" s="19">
        <f>'Plant &amp; Fish Production'!G56</f>
        <v>0</v>
      </c>
      <c r="D164" s="47" t="str">
        <f>'Plant &amp; Fish Production'!H56</f>
        <v/>
      </c>
      <c r="E164" s="19">
        <f>'Plant &amp; Fish Production'!I56</f>
        <v>0</v>
      </c>
      <c r="F164" s="78" t="str">
        <f>'Plant &amp; Fish Production'!J56</f>
        <v/>
      </c>
      <c r="G164" s="78">
        <f>'Plant &amp; Fish Production'!K56</f>
        <v>0</v>
      </c>
      <c r="H164" s="42" t="str">
        <f>'Plant &amp; Fish Production'!L56</f>
        <v/>
      </c>
      <c r="I164" s="78">
        <f>'Plant &amp; Fish Production'!M56</f>
        <v>0</v>
      </c>
      <c r="J164" s="42" t="str">
        <f>'Plant &amp; Fish Production'!N56</f>
        <v/>
      </c>
      <c r="K164" s="47">
        <f>'Plant &amp; Fish Production'!O56</f>
        <v>0</v>
      </c>
      <c r="L164" s="116" t="str">
        <f>'Plant &amp; Fish Production'!P56</f>
        <v/>
      </c>
    </row>
    <row r="165" spans="1:26" ht="12.3" hidden="1">
      <c r="B165" s="10">
        <f>'Plant &amp; Fish Production'!F57</f>
        <v>0</v>
      </c>
      <c r="C165" s="19">
        <f>'Plant &amp; Fish Production'!G57</f>
        <v>0</v>
      </c>
      <c r="D165" s="47" t="str">
        <f>'Plant &amp; Fish Production'!H57</f>
        <v/>
      </c>
      <c r="E165" s="19">
        <f>'Plant &amp; Fish Production'!I57</f>
        <v>0</v>
      </c>
      <c r="F165" s="78" t="str">
        <f>'Plant &amp; Fish Production'!J57</f>
        <v/>
      </c>
      <c r="G165" s="78">
        <f>'Plant &amp; Fish Production'!K57</f>
        <v>0</v>
      </c>
      <c r="H165" s="42" t="str">
        <f>'Plant &amp; Fish Production'!L57</f>
        <v/>
      </c>
      <c r="I165" s="78">
        <f>'Plant &amp; Fish Production'!M57</f>
        <v>0</v>
      </c>
      <c r="J165" s="42" t="str">
        <f>'Plant &amp; Fish Production'!N57</f>
        <v/>
      </c>
      <c r="K165" s="47">
        <f>'Plant &amp; Fish Production'!O57</f>
        <v>0</v>
      </c>
      <c r="L165" s="116" t="str">
        <f>'Plant &amp; Fish Production'!P57</f>
        <v/>
      </c>
    </row>
    <row r="166" spans="1:26" ht="12.3" hidden="1">
      <c r="B166" s="10">
        <f>'Plant &amp; Fish Production'!F58</f>
        <v>0</v>
      </c>
      <c r="C166" s="19">
        <f>'Plant &amp; Fish Production'!G58</f>
        <v>0</v>
      </c>
      <c r="D166" s="47" t="str">
        <f>'Plant &amp; Fish Production'!H58</f>
        <v/>
      </c>
      <c r="E166" s="19">
        <f>'Plant &amp; Fish Production'!I58</f>
        <v>0</v>
      </c>
      <c r="F166" s="78" t="str">
        <f>'Plant &amp; Fish Production'!J58</f>
        <v/>
      </c>
      <c r="G166" s="78">
        <f>'Plant &amp; Fish Production'!K58</f>
        <v>0</v>
      </c>
      <c r="H166" s="42" t="str">
        <f>'Plant &amp; Fish Production'!L58</f>
        <v/>
      </c>
      <c r="I166" s="78">
        <f>'Plant &amp; Fish Production'!M58</f>
        <v>0</v>
      </c>
      <c r="J166" s="42" t="str">
        <f>'Plant &amp; Fish Production'!N58</f>
        <v/>
      </c>
      <c r="K166" s="47">
        <f>'Plant &amp; Fish Production'!O58</f>
        <v>0</v>
      </c>
      <c r="L166" s="116" t="str">
        <f>'Plant &amp; Fish Production'!P58</f>
        <v/>
      </c>
    </row>
    <row r="167" spans="1:26" ht="12.3" hidden="1">
      <c r="B167" s="10">
        <f>'Plant &amp; Fish Production'!F59</f>
        <v>0</v>
      </c>
      <c r="C167" s="19">
        <f>'Plant &amp; Fish Production'!G59</f>
        <v>0</v>
      </c>
      <c r="D167" s="47" t="str">
        <f>'Plant &amp; Fish Production'!H59</f>
        <v/>
      </c>
      <c r="E167" s="19">
        <f>'Plant &amp; Fish Production'!I59</f>
        <v>0</v>
      </c>
      <c r="F167" s="78" t="str">
        <f>'Plant &amp; Fish Production'!J59</f>
        <v/>
      </c>
      <c r="G167" s="78">
        <f>'Plant &amp; Fish Production'!K59</f>
        <v>0</v>
      </c>
      <c r="H167" s="42" t="str">
        <f>'Plant &amp; Fish Production'!L59</f>
        <v/>
      </c>
      <c r="I167" s="78">
        <f>'Plant &amp; Fish Production'!M59</f>
        <v>0</v>
      </c>
      <c r="J167" s="42" t="str">
        <f>'Plant &amp; Fish Production'!N59</f>
        <v/>
      </c>
      <c r="K167" s="47">
        <f>'Plant &amp; Fish Production'!O59</f>
        <v>0</v>
      </c>
      <c r="L167" s="116" t="str">
        <f>'Plant &amp; Fish Production'!P59</f>
        <v/>
      </c>
    </row>
    <row r="168" spans="1:26" ht="12.3" hidden="1">
      <c r="B168" s="10">
        <f>'Plant &amp; Fish Production'!F60</f>
        <v>0</v>
      </c>
      <c r="C168" s="19">
        <f>'Plant &amp; Fish Production'!G60</f>
        <v>0</v>
      </c>
      <c r="D168" s="47" t="str">
        <f>'Plant &amp; Fish Production'!H60</f>
        <v/>
      </c>
      <c r="E168" s="19">
        <f>'Plant &amp; Fish Production'!I60</f>
        <v>0</v>
      </c>
      <c r="F168" s="78" t="str">
        <f>'Plant &amp; Fish Production'!J60</f>
        <v/>
      </c>
      <c r="G168" s="78">
        <f>'Plant &amp; Fish Production'!K60</f>
        <v>0</v>
      </c>
      <c r="H168" s="42" t="str">
        <f>'Plant &amp; Fish Production'!L60</f>
        <v/>
      </c>
      <c r="I168" s="78">
        <f>'Plant &amp; Fish Production'!M60</f>
        <v>0</v>
      </c>
      <c r="J168" s="42" t="str">
        <f>'Plant &amp; Fish Production'!N60</f>
        <v/>
      </c>
      <c r="K168" s="47">
        <f>'Plant &amp; Fish Production'!O60</f>
        <v>0</v>
      </c>
      <c r="L168" s="116" t="str">
        <f>'Plant &amp; Fish Production'!P60</f>
        <v/>
      </c>
    </row>
    <row r="169" spans="1:26" ht="12.3">
      <c r="B169" s="68" t="str">
        <f>'Plant &amp; Fish Production'!F61</f>
        <v>Totals</v>
      </c>
      <c r="C169" s="70">
        <f>'Plant &amp; Fish Production'!G61</f>
        <v>0</v>
      </c>
      <c r="D169" s="70">
        <f>'Plant &amp; Fish Production'!H61</f>
        <v>0</v>
      </c>
      <c r="E169" s="70">
        <f>'Plant &amp; Fish Production'!I61</f>
        <v>0</v>
      </c>
      <c r="F169" s="70">
        <f>'Plant &amp; Fish Production'!J61</f>
        <v>0</v>
      </c>
      <c r="G169" s="70">
        <f>'Plant &amp; Fish Production'!K61</f>
        <v>0</v>
      </c>
      <c r="H169" s="70">
        <f>'Plant &amp; Fish Production'!L61</f>
        <v>0</v>
      </c>
      <c r="I169" s="79">
        <f>'Plant &amp; Fish Production'!M61</f>
        <v>0</v>
      </c>
      <c r="J169" s="38">
        <f>'Plant &amp; Fish Production'!N61</f>
        <v>0</v>
      </c>
      <c r="K169" s="70">
        <f>'Plant &amp; Fish Production'!O61</f>
        <v>0</v>
      </c>
      <c r="L169" s="96">
        <f>'Plant &amp; Fish Production'!P61</f>
        <v>0</v>
      </c>
    </row>
    <row r="170" spans="1:26" ht="12.3">
      <c r="B170" s="13"/>
    </row>
    <row r="171" spans="1:26" ht="12.3">
      <c r="B171" s="13" t="s">
        <v>671</v>
      </c>
    </row>
    <row r="172" spans="1:26" ht="36.9">
      <c r="A172" s="45"/>
      <c r="B172" s="117" t="str">
        <f>'REV &amp; COGS'!A54</f>
        <v>Crops</v>
      </c>
      <c r="C172" s="87" t="str">
        <f>'REV &amp; COGS'!J54</f>
        <v>Product Sold by</v>
      </c>
      <c r="D172" s="87" t="str">
        <f>'REV &amp; COGS'!K54</f>
        <v>Packaging Type</v>
      </c>
      <c r="E172" s="88" t="str">
        <f>'REV &amp; COGS'!N54</f>
        <v>Units Sold</v>
      </c>
      <c r="F172" s="88" t="str">
        <f>'REV &amp; COGS'!P54</f>
        <v>Sale $ per unit</v>
      </c>
      <c r="G172" s="88" t="str">
        <f>'REV &amp; COGS'!Q54</f>
        <v>Apr - Sep Revenue</v>
      </c>
      <c r="H172" s="88" t="str">
        <f>'REV &amp; COGS'!R54</f>
        <v>Avg Mth</v>
      </c>
      <c r="I172" s="45"/>
      <c r="J172" s="45"/>
      <c r="K172" s="45"/>
      <c r="L172" s="45"/>
      <c r="M172" s="45"/>
      <c r="N172" s="45"/>
      <c r="O172" s="45"/>
      <c r="P172" s="45"/>
      <c r="Q172" s="45"/>
      <c r="R172" s="45"/>
      <c r="S172" s="45"/>
      <c r="T172" s="45"/>
      <c r="U172" s="45"/>
      <c r="V172" s="45"/>
      <c r="W172" s="45"/>
      <c r="X172" s="45"/>
      <c r="Y172" s="45"/>
      <c r="Z172" s="45"/>
    </row>
    <row r="173" spans="1:26" ht="12.3">
      <c r="B173" s="4" t="str">
        <f>'REV &amp; COGS'!A55</f>
        <v>Tomatoes</v>
      </c>
      <c r="C173" s="19">
        <f>'REV &amp; COGS'!J55</f>
        <v>0</v>
      </c>
      <c r="D173" s="10">
        <f>'REV &amp; COGS'!K55</f>
        <v>0</v>
      </c>
      <c r="E173" s="16" t="str">
        <f>'REV &amp; COGS'!N55</f>
        <v/>
      </c>
      <c r="F173" s="20">
        <f>'REV &amp; COGS'!P55</f>
        <v>0</v>
      </c>
      <c r="G173" s="11" t="str">
        <f>'REV &amp; COGS'!Q55</f>
        <v/>
      </c>
      <c r="H173" s="11" t="str">
        <f>'REV &amp; COGS'!R55</f>
        <v/>
      </c>
    </row>
    <row r="174" spans="1:26" ht="12.3">
      <c r="B174" s="4" t="str">
        <f>'REV &amp; COGS'!A56</f>
        <v>Squash</v>
      </c>
      <c r="C174" s="19">
        <f>'REV &amp; COGS'!J56</f>
        <v>0</v>
      </c>
      <c r="D174" s="10">
        <f>'REV &amp; COGS'!K56</f>
        <v>0</v>
      </c>
      <c r="E174" s="16" t="str">
        <f>'REV &amp; COGS'!N56</f>
        <v/>
      </c>
      <c r="F174" s="20">
        <f>'REV &amp; COGS'!P56</f>
        <v>0</v>
      </c>
      <c r="G174" s="11" t="str">
        <f>'REV &amp; COGS'!Q56</f>
        <v/>
      </c>
      <c r="H174" s="11" t="str">
        <f>'REV &amp; COGS'!R56</f>
        <v/>
      </c>
    </row>
    <row r="175" spans="1:26" ht="12.3">
      <c r="B175" s="4" t="str">
        <f>'REV &amp; COGS'!A57</f>
        <v>Peppers</v>
      </c>
      <c r="C175" s="19">
        <f>'REV &amp; COGS'!J57</f>
        <v>0</v>
      </c>
      <c r="D175" s="10">
        <f>'REV &amp; COGS'!K57</f>
        <v>0</v>
      </c>
      <c r="E175" s="16" t="str">
        <f>'REV &amp; COGS'!N57</f>
        <v/>
      </c>
      <c r="F175" s="20">
        <f>'REV &amp; COGS'!P57</f>
        <v>0</v>
      </c>
      <c r="G175" s="11" t="str">
        <f>'REV &amp; COGS'!Q57</f>
        <v/>
      </c>
      <c r="H175" s="11" t="str">
        <f>'REV &amp; COGS'!R57</f>
        <v/>
      </c>
    </row>
    <row r="176" spans="1:26" ht="12.3">
      <c r="B176" s="4" t="str">
        <f>'REV &amp; COGS'!A58</f>
        <v>Cucumbers</v>
      </c>
      <c r="C176" s="19">
        <f>'REV &amp; COGS'!J58</f>
        <v>0</v>
      </c>
      <c r="D176" s="10">
        <f>'REV &amp; COGS'!K58</f>
        <v>0</v>
      </c>
      <c r="E176" s="16" t="str">
        <f>'REV &amp; COGS'!N58</f>
        <v/>
      </c>
      <c r="F176" s="20">
        <f>'REV &amp; COGS'!P58</f>
        <v>0</v>
      </c>
      <c r="G176" s="11" t="str">
        <f>'REV &amp; COGS'!Q58</f>
        <v/>
      </c>
      <c r="H176" s="11" t="str">
        <f>'REV &amp; COGS'!R58</f>
        <v/>
      </c>
    </row>
    <row r="177" spans="1:26" ht="12.3" hidden="1">
      <c r="B177" s="4" t="str">
        <f>'REV &amp; COGS'!A59</f>
        <v/>
      </c>
      <c r="C177" s="10">
        <f>'REV &amp; COGS'!J59</f>
        <v>0</v>
      </c>
      <c r="D177" s="10">
        <f>'REV &amp; COGS'!K59</f>
        <v>0</v>
      </c>
      <c r="E177" s="16" t="str">
        <f>'REV &amp; COGS'!N59</f>
        <v/>
      </c>
      <c r="F177" s="20">
        <f>'REV &amp; COGS'!P59</f>
        <v>0</v>
      </c>
      <c r="G177" s="20" t="str">
        <f>'REV &amp; COGS'!Q59</f>
        <v/>
      </c>
      <c r="H177" s="20" t="str">
        <f>'REV &amp; COGS'!R59</f>
        <v/>
      </c>
    </row>
    <row r="178" spans="1:26" ht="12.3" hidden="1">
      <c r="B178" s="4" t="str">
        <f>'REV &amp; COGS'!A60</f>
        <v/>
      </c>
      <c r="C178" s="10">
        <f>'REV &amp; COGS'!J60</f>
        <v>0</v>
      </c>
      <c r="D178" s="10">
        <f>'REV &amp; COGS'!K60</f>
        <v>0</v>
      </c>
      <c r="E178" s="16" t="str">
        <f>'REV &amp; COGS'!N60</f>
        <v/>
      </c>
      <c r="F178" s="20">
        <f>'REV &amp; COGS'!P60</f>
        <v>0</v>
      </c>
      <c r="G178" s="20" t="str">
        <f>'REV &amp; COGS'!Q60</f>
        <v/>
      </c>
      <c r="H178" s="20" t="str">
        <f>'REV &amp; COGS'!R60</f>
        <v/>
      </c>
    </row>
    <row r="179" spans="1:26" ht="12.3" hidden="1">
      <c r="B179" s="4" t="str">
        <f>'REV &amp; COGS'!A61</f>
        <v/>
      </c>
      <c r="C179" s="10">
        <f>'REV &amp; COGS'!J61</f>
        <v>0</v>
      </c>
      <c r="D179" s="10">
        <f>'REV &amp; COGS'!K61</f>
        <v>0</v>
      </c>
      <c r="E179" s="16" t="str">
        <f>'REV &amp; COGS'!N61</f>
        <v/>
      </c>
      <c r="F179" s="20">
        <f>'REV &amp; COGS'!P61</f>
        <v>0</v>
      </c>
      <c r="G179" s="20" t="str">
        <f>'REV &amp; COGS'!Q61</f>
        <v/>
      </c>
      <c r="H179" s="20" t="str">
        <f>'REV &amp; COGS'!R61</f>
        <v/>
      </c>
    </row>
    <row r="180" spans="1:26" ht="12.3" hidden="1">
      <c r="B180" s="4" t="str">
        <f>'REV &amp; COGS'!A62</f>
        <v/>
      </c>
      <c r="C180" s="10">
        <f>'REV &amp; COGS'!J62</f>
        <v>0</v>
      </c>
      <c r="D180" s="10">
        <f>'REV &amp; COGS'!K62</f>
        <v>0</v>
      </c>
      <c r="E180" s="16" t="str">
        <f>'REV &amp; COGS'!N62</f>
        <v/>
      </c>
      <c r="F180" s="20">
        <f>'REV &amp; COGS'!P62</f>
        <v>0</v>
      </c>
      <c r="G180" s="20" t="str">
        <f>'REV &amp; COGS'!Q62</f>
        <v/>
      </c>
      <c r="H180" s="20" t="str">
        <f>'REV &amp; COGS'!R62</f>
        <v/>
      </c>
    </row>
    <row r="181" spans="1:26" ht="12.3" hidden="1">
      <c r="B181" s="4" t="str">
        <f>'REV &amp; COGS'!A63</f>
        <v/>
      </c>
      <c r="C181" s="10">
        <f>'REV &amp; COGS'!J63</f>
        <v>0</v>
      </c>
      <c r="D181" s="10">
        <f>'REV &amp; COGS'!K63</f>
        <v>0</v>
      </c>
      <c r="E181" s="16" t="str">
        <f>'REV &amp; COGS'!N63</f>
        <v/>
      </c>
      <c r="F181" s="20">
        <f>'REV &amp; COGS'!P63</f>
        <v>0</v>
      </c>
      <c r="G181" s="20" t="str">
        <f>'REV &amp; COGS'!Q63</f>
        <v/>
      </c>
      <c r="H181" s="20" t="str">
        <f>'REV &amp; COGS'!R63</f>
        <v/>
      </c>
    </row>
    <row r="182" spans="1:26" ht="12.3" hidden="1">
      <c r="B182" s="4" t="str">
        <f>'REV &amp; COGS'!A64</f>
        <v/>
      </c>
      <c r="C182" s="10">
        <f>'REV &amp; COGS'!J64</f>
        <v>0</v>
      </c>
      <c r="D182" s="10">
        <f>'REV &amp; COGS'!K64</f>
        <v>0</v>
      </c>
      <c r="E182" s="16" t="str">
        <f>'REV &amp; COGS'!N64</f>
        <v/>
      </c>
      <c r="F182" s="20">
        <f>'REV &amp; COGS'!P64</f>
        <v>0</v>
      </c>
      <c r="G182" s="20" t="str">
        <f>'REV &amp; COGS'!Q64</f>
        <v/>
      </c>
      <c r="H182" s="20" t="str">
        <f>'REV &amp; COGS'!R64</f>
        <v/>
      </c>
    </row>
    <row r="183" spans="1:26" ht="12.3" hidden="1">
      <c r="B183" s="4" t="str">
        <f>'REV &amp; COGS'!A65</f>
        <v/>
      </c>
      <c r="C183" s="10">
        <f>'REV &amp; COGS'!J65</f>
        <v>0</v>
      </c>
      <c r="D183" s="10">
        <f>'REV &amp; COGS'!K65</f>
        <v>0</v>
      </c>
      <c r="E183" s="16" t="str">
        <f>'REV &amp; COGS'!N65</f>
        <v/>
      </c>
      <c r="F183" s="20">
        <f>'REV &amp; COGS'!P65</f>
        <v>0</v>
      </c>
      <c r="G183" s="20" t="str">
        <f>'REV &amp; COGS'!Q65</f>
        <v/>
      </c>
      <c r="H183" s="20" t="str">
        <f>'REV &amp; COGS'!R65</f>
        <v/>
      </c>
    </row>
    <row r="184" spans="1:26" ht="12.3" hidden="1">
      <c r="B184" s="4" t="str">
        <f>'REV &amp; COGS'!A66</f>
        <v/>
      </c>
      <c r="C184" s="10">
        <f>'REV &amp; COGS'!J66</f>
        <v>0</v>
      </c>
      <c r="D184" s="10">
        <f>'REV &amp; COGS'!K66</f>
        <v>0</v>
      </c>
      <c r="E184" s="16" t="str">
        <f>'REV &amp; COGS'!N66</f>
        <v/>
      </c>
      <c r="F184" s="20">
        <f>'REV &amp; COGS'!P66</f>
        <v>0</v>
      </c>
      <c r="G184" s="20" t="str">
        <f>'REV &amp; COGS'!Q66</f>
        <v/>
      </c>
      <c r="H184" s="20" t="str">
        <f>'REV &amp; COGS'!R66</f>
        <v/>
      </c>
    </row>
    <row r="185" spans="1:26" ht="12.3" hidden="1">
      <c r="B185" s="4" t="str">
        <f>'REV &amp; COGS'!A67</f>
        <v/>
      </c>
      <c r="C185" s="10">
        <f>'REV &amp; COGS'!J67</f>
        <v>0</v>
      </c>
      <c r="D185" s="10">
        <f>'REV &amp; COGS'!K67</f>
        <v>0</v>
      </c>
      <c r="E185" s="16" t="str">
        <f>'REV &amp; COGS'!N67</f>
        <v/>
      </c>
      <c r="F185" s="20">
        <f>'REV &amp; COGS'!P67</f>
        <v>0</v>
      </c>
      <c r="G185" s="20" t="str">
        <f>'REV &amp; COGS'!Q67</f>
        <v/>
      </c>
      <c r="H185" s="20" t="str">
        <f>'REV &amp; COGS'!R67</f>
        <v/>
      </c>
    </row>
    <row r="186" spans="1:26" ht="12.3" hidden="1">
      <c r="B186" s="4" t="str">
        <f>'REV &amp; COGS'!A68</f>
        <v/>
      </c>
      <c r="C186" s="10">
        <f>'REV &amp; COGS'!J68</f>
        <v>0</v>
      </c>
      <c r="D186" s="10">
        <f>'REV &amp; COGS'!K68</f>
        <v>0</v>
      </c>
      <c r="E186" s="16" t="str">
        <f>'REV &amp; COGS'!N68</f>
        <v/>
      </c>
      <c r="F186" s="20">
        <f>'REV &amp; COGS'!P68</f>
        <v>0</v>
      </c>
      <c r="G186" s="20" t="str">
        <f>'REV &amp; COGS'!Q68</f>
        <v/>
      </c>
      <c r="H186" s="20" t="str">
        <f>'REV &amp; COGS'!R68</f>
        <v/>
      </c>
    </row>
    <row r="187" spans="1:26" ht="12.3">
      <c r="B187" s="21" t="str">
        <f>'REV &amp; COGS'!A69</f>
        <v>Totals</v>
      </c>
      <c r="C187" s="68">
        <f>'REV &amp; COGS'!J69</f>
        <v>0</v>
      </c>
      <c r="D187" s="68">
        <f>'REV &amp; COGS'!K69</f>
        <v>0</v>
      </c>
      <c r="E187" s="85">
        <f>'REV &amp; COGS'!N69</f>
        <v>0</v>
      </c>
      <c r="F187" s="70">
        <f>'REV &amp; COGS'!P69</f>
        <v>0</v>
      </c>
      <c r="G187" s="118">
        <f>'REV &amp; COGS'!Q69</f>
        <v>0</v>
      </c>
      <c r="H187" s="118">
        <f>'REV &amp; COGS'!R69</f>
        <v>0</v>
      </c>
    </row>
    <row r="188" spans="1:26" ht="12.3">
      <c r="B188" s="13">
        <f>'REV &amp; COGS'!A70</f>
        <v>0</v>
      </c>
    </row>
    <row r="189" spans="1:26" ht="12.3">
      <c r="B189" s="13" t="s">
        <v>672</v>
      </c>
    </row>
    <row r="190" spans="1:26" ht="36.9">
      <c r="A190" s="45"/>
      <c r="B190" s="87" t="str">
        <f>'REV &amp; COGS'!A54</f>
        <v>Crops</v>
      </c>
      <c r="C190" s="88" t="str">
        <f>'REV &amp; COGS'!B54</f>
        <v>Seed cost per plant</v>
      </c>
      <c r="D190" s="88" t="str">
        <f>'REV &amp; COGS'!C54</f>
        <v>Cost per starter plug</v>
      </c>
      <c r="E190" s="88" t="str">
        <f>'REV &amp; COGS'!D54</f>
        <v>Seeding Cost per plant</v>
      </c>
      <c r="F190" s="88" t="str">
        <f>'REV &amp; COGS'!E54</f>
        <v>Total sewn plants</v>
      </c>
      <c r="G190" s="88" t="str">
        <f>'REV &amp; COGS'!F54</f>
        <v>Total cost plants</v>
      </c>
      <c r="H190" s="88" t="str">
        <f>'REV &amp; COGS'!G54</f>
        <v>Loss rate</v>
      </c>
      <c r="I190" s="88" t="str">
        <f>'REV &amp; COGS'!H54</f>
        <v>Number of plants</v>
      </c>
      <c r="J190" s="45"/>
      <c r="K190" s="45"/>
      <c r="L190" s="45"/>
      <c r="M190" s="45"/>
      <c r="N190" s="45"/>
      <c r="O190" s="45"/>
      <c r="P190" s="45"/>
      <c r="Q190" s="45"/>
      <c r="R190" s="45"/>
      <c r="S190" s="45"/>
      <c r="T190" s="45"/>
      <c r="U190" s="45"/>
      <c r="V190" s="45"/>
      <c r="W190" s="45"/>
      <c r="X190" s="45"/>
      <c r="Y190" s="45"/>
      <c r="Z190" s="45"/>
    </row>
    <row r="191" spans="1:26" ht="12.3">
      <c r="B191" s="10" t="str">
        <f>'REV &amp; COGS'!A55</f>
        <v>Tomatoes</v>
      </c>
      <c r="C191" s="119">
        <f>'REV &amp; COGS'!B55</f>
        <v>0</v>
      </c>
      <c r="D191" s="119">
        <f>'REV &amp; COGS'!C55</f>
        <v>0</v>
      </c>
      <c r="E191" s="119" t="str">
        <f>'REV &amp; COGS'!D55</f>
        <v/>
      </c>
      <c r="F191" s="116" t="str">
        <f>'REV &amp; COGS'!E55</f>
        <v/>
      </c>
      <c r="G191" s="120" t="str">
        <f>'REV &amp; COGS'!F55</f>
        <v/>
      </c>
      <c r="H191" s="121" t="str">
        <f>'REV &amp; COGS'!G55</f>
        <v/>
      </c>
      <c r="I191" s="116" t="str">
        <f>'REV &amp; COGS'!H55</f>
        <v/>
      </c>
    </row>
    <row r="192" spans="1:26" ht="12.3">
      <c r="B192" s="10" t="str">
        <f>'REV &amp; COGS'!A56</f>
        <v>Squash</v>
      </c>
      <c r="C192" s="99">
        <f>'REV &amp; COGS'!B56</f>
        <v>0</v>
      </c>
      <c r="D192" s="99">
        <f>'REV &amp; COGS'!C56</f>
        <v>0</v>
      </c>
      <c r="E192" s="99" t="str">
        <f>'REV &amp; COGS'!D56</f>
        <v/>
      </c>
      <c r="F192" s="116" t="str">
        <f>'REV &amp; COGS'!E56</f>
        <v/>
      </c>
      <c r="G192" s="120" t="str">
        <f>'REV &amp; COGS'!F56</f>
        <v/>
      </c>
      <c r="H192" s="121" t="str">
        <f>'REV &amp; COGS'!G56</f>
        <v/>
      </c>
      <c r="I192" s="116" t="str">
        <f>'REV &amp; COGS'!H56</f>
        <v/>
      </c>
    </row>
    <row r="193" spans="1:26" ht="12.3">
      <c r="B193" s="10" t="str">
        <f>'REV &amp; COGS'!A57</f>
        <v>Peppers</v>
      </c>
      <c r="C193" s="99">
        <f>'REV &amp; COGS'!B57</f>
        <v>0</v>
      </c>
      <c r="D193" s="99">
        <f>'REV &amp; COGS'!C57</f>
        <v>0</v>
      </c>
      <c r="E193" s="99" t="str">
        <f>'REV &amp; COGS'!D57</f>
        <v/>
      </c>
      <c r="F193" s="116" t="str">
        <f>'REV &amp; COGS'!E57</f>
        <v/>
      </c>
      <c r="G193" s="120" t="str">
        <f>'REV &amp; COGS'!F57</f>
        <v/>
      </c>
      <c r="H193" s="121" t="str">
        <f>'REV &amp; COGS'!G57</f>
        <v/>
      </c>
      <c r="I193" s="116" t="str">
        <f>'REV &amp; COGS'!H57</f>
        <v/>
      </c>
    </row>
    <row r="194" spans="1:26" ht="12.3">
      <c r="B194" s="10" t="str">
        <f>'REV &amp; COGS'!A58</f>
        <v>Cucumbers</v>
      </c>
      <c r="C194" s="99">
        <f>'REV &amp; COGS'!B58</f>
        <v>0</v>
      </c>
      <c r="D194" s="99">
        <f>'REV &amp; COGS'!C58</f>
        <v>0</v>
      </c>
      <c r="E194" s="99" t="str">
        <f>'REV &amp; COGS'!D58</f>
        <v/>
      </c>
      <c r="F194" s="116" t="str">
        <f>'REV &amp; COGS'!E58</f>
        <v/>
      </c>
      <c r="G194" s="120" t="str">
        <f>'REV &amp; COGS'!F58</f>
        <v/>
      </c>
      <c r="H194" s="121" t="str">
        <f>'REV &amp; COGS'!G58</f>
        <v/>
      </c>
      <c r="I194" s="116" t="str">
        <f>'REV &amp; COGS'!H58</f>
        <v/>
      </c>
    </row>
    <row r="195" spans="1:26" ht="12.3" hidden="1">
      <c r="B195" s="10" t="str">
        <f>'REV &amp; COGS'!A59</f>
        <v/>
      </c>
      <c r="C195" s="99">
        <f>'REV &amp; COGS'!B59</f>
        <v>0</v>
      </c>
      <c r="D195" s="99">
        <f>'REV &amp; COGS'!C59</f>
        <v>0</v>
      </c>
      <c r="E195" s="99" t="str">
        <f>'REV &amp; COGS'!D59</f>
        <v/>
      </c>
      <c r="F195" s="116" t="str">
        <f>'REV &amp; COGS'!E59</f>
        <v/>
      </c>
      <c r="G195" s="120" t="str">
        <f>'REV &amp; COGS'!F59</f>
        <v/>
      </c>
      <c r="H195" s="121" t="str">
        <f>'REV &amp; COGS'!G59</f>
        <v/>
      </c>
      <c r="I195" s="116" t="str">
        <f>'REV &amp; COGS'!H59</f>
        <v/>
      </c>
    </row>
    <row r="196" spans="1:26" ht="12.3" hidden="1">
      <c r="B196" s="10" t="str">
        <f>'REV &amp; COGS'!A60</f>
        <v/>
      </c>
      <c r="C196" s="99">
        <f>'REV &amp; COGS'!B60</f>
        <v>0</v>
      </c>
      <c r="D196" s="99">
        <f>'REV &amp; COGS'!C60</f>
        <v>0</v>
      </c>
      <c r="E196" s="99" t="str">
        <f>'REV &amp; COGS'!D60</f>
        <v/>
      </c>
      <c r="F196" s="116" t="str">
        <f>'REV &amp; COGS'!E60</f>
        <v/>
      </c>
      <c r="G196" s="120" t="str">
        <f>'REV &amp; COGS'!F60</f>
        <v/>
      </c>
      <c r="H196" s="121" t="str">
        <f>'REV &amp; COGS'!G60</f>
        <v/>
      </c>
      <c r="I196" s="116" t="str">
        <f>'REV &amp; COGS'!H60</f>
        <v/>
      </c>
    </row>
    <row r="197" spans="1:26" ht="12.3" hidden="1">
      <c r="B197" s="10" t="str">
        <f>'REV &amp; COGS'!A61</f>
        <v/>
      </c>
      <c r="C197" s="99">
        <f>'REV &amp; COGS'!B61</f>
        <v>0</v>
      </c>
      <c r="D197" s="99">
        <f>'REV &amp; COGS'!C61</f>
        <v>0</v>
      </c>
      <c r="E197" s="99" t="str">
        <f>'REV &amp; COGS'!D61</f>
        <v/>
      </c>
      <c r="F197" s="116" t="str">
        <f>'REV &amp; COGS'!E61</f>
        <v/>
      </c>
      <c r="G197" s="120" t="str">
        <f>'REV &amp; COGS'!F61</f>
        <v/>
      </c>
      <c r="H197" s="121" t="str">
        <f>'REV &amp; COGS'!G61</f>
        <v/>
      </c>
      <c r="I197" s="116" t="str">
        <f>'REV &amp; COGS'!H61</f>
        <v/>
      </c>
    </row>
    <row r="198" spans="1:26" ht="12.3" hidden="1">
      <c r="B198" s="10" t="str">
        <f>'REV &amp; COGS'!A62</f>
        <v/>
      </c>
      <c r="C198" s="99">
        <f>'REV &amp; COGS'!B62</f>
        <v>0</v>
      </c>
      <c r="D198" s="99">
        <f>'REV &amp; COGS'!C62</f>
        <v>0</v>
      </c>
      <c r="E198" s="99" t="str">
        <f>'REV &amp; COGS'!D62</f>
        <v/>
      </c>
      <c r="F198" s="116" t="str">
        <f>'REV &amp; COGS'!E62</f>
        <v/>
      </c>
      <c r="G198" s="120" t="str">
        <f>'REV &amp; COGS'!F62</f>
        <v/>
      </c>
      <c r="H198" s="121" t="str">
        <f>'REV &amp; COGS'!G62</f>
        <v/>
      </c>
      <c r="I198" s="116" t="str">
        <f>'REV &amp; COGS'!H62</f>
        <v/>
      </c>
    </row>
    <row r="199" spans="1:26" ht="12.3" hidden="1">
      <c r="B199" s="10" t="str">
        <f>'REV &amp; COGS'!A63</f>
        <v/>
      </c>
      <c r="C199" s="99">
        <f>'REV &amp; COGS'!B63</f>
        <v>0</v>
      </c>
      <c r="D199" s="99">
        <f>'REV &amp; COGS'!C63</f>
        <v>0</v>
      </c>
      <c r="E199" s="99" t="str">
        <f>'REV &amp; COGS'!D63</f>
        <v/>
      </c>
      <c r="F199" s="116" t="str">
        <f>'REV &amp; COGS'!E63</f>
        <v/>
      </c>
      <c r="G199" s="120" t="str">
        <f>'REV &amp; COGS'!F63</f>
        <v/>
      </c>
      <c r="H199" s="121" t="str">
        <f>'REV &amp; COGS'!G63</f>
        <v/>
      </c>
      <c r="I199" s="116" t="str">
        <f>'REV &amp; COGS'!H63</f>
        <v/>
      </c>
    </row>
    <row r="200" spans="1:26" ht="12.3" hidden="1">
      <c r="B200" s="10" t="str">
        <f>'REV &amp; COGS'!A64</f>
        <v/>
      </c>
      <c r="C200" s="99">
        <f>'REV &amp; COGS'!B64</f>
        <v>0</v>
      </c>
      <c r="D200" s="99">
        <f>'REV &amp; COGS'!C64</f>
        <v>0</v>
      </c>
      <c r="E200" s="99" t="str">
        <f>'REV &amp; COGS'!D64</f>
        <v/>
      </c>
      <c r="F200" s="116" t="str">
        <f>'REV &amp; COGS'!E64</f>
        <v/>
      </c>
      <c r="G200" s="120" t="str">
        <f>'REV &amp; COGS'!F64</f>
        <v/>
      </c>
      <c r="H200" s="121" t="str">
        <f>'REV &amp; COGS'!G64</f>
        <v/>
      </c>
      <c r="I200" s="116" t="str">
        <f>'REV &amp; COGS'!H64</f>
        <v/>
      </c>
    </row>
    <row r="201" spans="1:26" ht="12.3" hidden="1">
      <c r="B201" s="10" t="str">
        <f>'REV &amp; COGS'!A65</f>
        <v/>
      </c>
      <c r="C201" s="99">
        <f>'REV &amp; COGS'!B65</f>
        <v>0</v>
      </c>
      <c r="D201" s="99">
        <f>'REV &amp; COGS'!C65</f>
        <v>0</v>
      </c>
      <c r="E201" s="99" t="str">
        <f>'REV &amp; COGS'!D65</f>
        <v/>
      </c>
      <c r="F201" s="116" t="str">
        <f>'REV &amp; COGS'!E65</f>
        <v/>
      </c>
      <c r="G201" s="120" t="str">
        <f>'REV &amp; COGS'!F65</f>
        <v/>
      </c>
      <c r="H201" s="121" t="str">
        <f>'REV &amp; COGS'!G65</f>
        <v/>
      </c>
      <c r="I201" s="116" t="str">
        <f>'REV &amp; COGS'!H65</f>
        <v/>
      </c>
    </row>
    <row r="202" spans="1:26" ht="12.3" hidden="1">
      <c r="B202" s="10" t="str">
        <f>'REV &amp; COGS'!A66</f>
        <v/>
      </c>
      <c r="C202" s="99">
        <f>'REV &amp; COGS'!B66</f>
        <v>0</v>
      </c>
      <c r="D202" s="99">
        <f>'REV &amp; COGS'!C66</f>
        <v>0</v>
      </c>
      <c r="E202" s="99" t="str">
        <f>'REV &amp; COGS'!D66</f>
        <v/>
      </c>
      <c r="F202" s="116" t="str">
        <f>'REV &amp; COGS'!E66</f>
        <v/>
      </c>
      <c r="G202" s="120" t="str">
        <f>'REV &amp; COGS'!F66</f>
        <v/>
      </c>
      <c r="H202" s="121" t="str">
        <f>'REV &amp; COGS'!G66</f>
        <v/>
      </c>
      <c r="I202" s="116" t="str">
        <f>'REV &amp; COGS'!H66</f>
        <v/>
      </c>
    </row>
    <row r="203" spans="1:26" ht="12.3" hidden="1">
      <c r="B203" s="10" t="str">
        <f>'REV &amp; COGS'!A67</f>
        <v/>
      </c>
      <c r="C203" s="99">
        <f>'REV &amp; COGS'!B67</f>
        <v>0</v>
      </c>
      <c r="D203" s="99">
        <f>'REV &amp; COGS'!C67</f>
        <v>0</v>
      </c>
      <c r="E203" s="99" t="str">
        <f>'REV &amp; COGS'!D67</f>
        <v/>
      </c>
      <c r="F203" s="116" t="str">
        <f>'REV &amp; COGS'!E67</f>
        <v/>
      </c>
      <c r="G203" s="120" t="str">
        <f>'REV &amp; COGS'!F67</f>
        <v/>
      </c>
      <c r="H203" s="121" t="str">
        <f>'REV &amp; COGS'!G67</f>
        <v/>
      </c>
      <c r="I203" s="116" t="str">
        <f>'REV &amp; COGS'!H67</f>
        <v/>
      </c>
    </row>
    <row r="204" spans="1:26" ht="12.3" hidden="1">
      <c r="B204" s="10" t="str">
        <f>'REV &amp; COGS'!A68</f>
        <v/>
      </c>
      <c r="C204" s="99">
        <f>'REV &amp; COGS'!B68</f>
        <v>0</v>
      </c>
      <c r="D204" s="99">
        <f>'REV &amp; COGS'!C68</f>
        <v>0</v>
      </c>
      <c r="E204" s="99" t="str">
        <f>'REV &amp; COGS'!D68</f>
        <v/>
      </c>
      <c r="F204" s="116" t="str">
        <f>'REV &amp; COGS'!E68</f>
        <v/>
      </c>
      <c r="G204" s="120" t="str">
        <f>'REV &amp; COGS'!F68</f>
        <v/>
      </c>
      <c r="H204" s="121" t="str">
        <f>'REV &amp; COGS'!G68</f>
        <v/>
      </c>
      <c r="I204" s="116" t="str">
        <f>'REV &amp; COGS'!H68</f>
        <v/>
      </c>
    </row>
    <row r="205" spans="1:26" ht="12.3">
      <c r="B205" s="68" t="str">
        <f>'REV &amp; COGS'!A69</f>
        <v>Totals</v>
      </c>
      <c r="C205" s="95">
        <f>'REV &amp; COGS'!B69</f>
        <v>0</v>
      </c>
      <c r="D205" s="95">
        <f>'REV &amp; COGS'!C69</f>
        <v>0</v>
      </c>
      <c r="E205" s="95">
        <f>'REV &amp; COGS'!D69</f>
        <v>0</v>
      </c>
      <c r="F205" s="96">
        <f>'REV &amp; COGS'!E69</f>
        <v>0</v>
      </c>
      <c r="G205" s="97">
        <f>'REV &amp; COGS'!F69</f>
        <v>0</v>
      </c>
      <c r="H205" s="95">
        <f>'REV &amp; COGS'!G69</f>
        <v>0</v>
      </c>
      <c r="I205" s="96">
        <f>'REV &amp; COGS'!H69</f>
        <v>0</v>
      </c>
    </row>
    <row r="206" spans="1:26" ht="12.3">
      <c r="B206">
        <f>'REV &amp; COGS'!A70</f>
        <v>0</v>
      </c>
    </row>
    <row r="207" spans="1:26" ht="12.3">
      <c r="B207" s="13" t="s">
        <v>673</v>
      </c>
    </row>
    <row r="208" spans="1:26" ht="36.9">
      <c r="A208" s="45"/>
      <c r="B208" s="117" t="str">
        <f>'REV &amp; COGS'!A54</f>
        <v>Crops</v>
      </c>
      <c r="C208" s="87" t="str">
        <f>'REV &amp; COGS'!J54</f>
        <v>Product Sold by</v>
      </c>
      <c r="D208" s="87" t="str">
        <f>'REV &amp; COGS'!K54</f>
        <v>Packaging Type</v>
      </c>
      <c r="E208" s="88" t="str">
        <f>'REV &amp; COGS'!L54</f>
        <v>Packaging Cost per unit</v>
      </c>
      <c r="F208" s="88" t="str">
        <f>'REV &amp; COGS'!M54</f>
        <v>Variable cost per unit</v>
      </c>
      <c r="G208" s="88" t="str">
        <f>'REV &amp; COGS'!N54</f>
        <v>Units Sold</v>
      </c>
      <c r="H208" s="88" t="str">
        <f>'REV &amp; COGS'!O54</f>
        <v>Total packaging cost</v>
      </c>
      <c r="I208" s="45"/>
      <c r="J208" s="45"/>
      <c r="K208" s="45"/>
      <c r="L208" s="45"/>
      <c r="M208" s="45"/>
      <c r="N208" s="45"/>
      <c r="O208" s="45"/>
      <c r="P208" s="45"/>
      <c r="Q208" s="45"/>
      <c r="R208" s="45"/>
      <c r="S208" s="45"/>
      <c r="T208" s="45"/>
      <c r="U208" s="45"/>
      <c r="V208" s="45"/>
      <c r="W208" s="45"/>
      <c r="X208" s="45"/>
      <c r="Y208" s="45"/>
      <c r="Z208" s="45"/>
    </row>
    <row r="209" spans="2:8" ht="12.3">
      <c r="B209" s="4" t="str">
        <f>'REV &amp; COGS'!A55</f>
        <v>Tomatoes</v>
      </c>
      <c r="C209" s="122">
        <f>'REV &amp; COGS'!J55</f>
        <v>0</v>
      </c>
      <c r="D209" s="98">
        <f>'REV &amp; COGS'!K55</f>
        <v>0</v>
      </c>
      <c r="E209" s="99" t="str">
        <f>'REV &amp; COGS'!L55</f>
        <v/>
      </c>
      <c r="F209" s="99" t="str">
        <f>'REV &amp; COGS'!M55</f>
        <v/>
      </c>
      <c r="G209" s="100" t="str">
        <f>'REV &amp; COGS'!N55</f>
        <v/>
      </c>
      <c r="H209" s="101" t="str">
        <f>'REV &amp; COGS'!O55</f>
        <v/>
      </c>
    </row>
    <row r="210" spans="2:8" ht="12.3">
      <c r="B210" s="4" t="str">
        <f>'REV &amp; COGS'!A56</f>
        <v>Squash</v>
      </c>
      <c r="C210" s="122">
        <f>'REV &amp; COGS'!J56</f>
        <v>0</v>
      </c>
      <c r="D210" s="98">
        <f>'REV &amp; COGS'!K56</f>
        <v>0</v>
      </c>
      <c r="E210" s="99" t="str">
        <f>'REV &amp; COGS'!L56</f>
        <v/>
      </c>
      <c r="F210" s="99" t="str">
        <f>'REV &amp; COGS'!M56</f>
        <v/>
      </c>
      <c r="G210" s="100" t="str">
        <f>'REV &amp; COGS'!N56</f>
        <v/>
      </c>
      <c r="H210" s="101" t="str">
        <f>'REV &amp; COGS'!O56</f>
        <v/>
      </c>
    </row>
    <row r="211" spans="2:8" ht="12.3">
      <c r="B211" s="4" t="str">
        <f>'REV &amp; COGS'!A57</f>
        <v>Peppers</v>
      </c>
      <c r="C211" s="122">
        <f>'REV &amp; COGS'!J57</f>
        <v>0</v>
      </c>
      <c r="D211" s="98">
        <f>'REV &amp; COGS'!K57</f>
        <v>0</v>
      </c>
      <c r="E211" s="99" t="str">
        <f>'REV &amp; COGS'!L57</f>
        <v/>
      </c>
      <c r="F211" s="99" t="str">
        <f>'REV &amp; COGS'!M57</f>
        <v/>
      </c>
      <c r="G211" s="100" t="str">
        <f>'REV &amp; COGS'!N57</f>
        <v/>
      </c>
      <c r="H211" s="101" t="str">
        <f>'REV &amp; COGS'!O57</f>
        <v/>
      </c>
    </row>
    <row r="212" spans="2:8" ht="12.3">
      <c r="B212" s="4" t="str">
        <f>'REV &amp; COGS'!A58</f>
        <v>Cucumbers</v>
      </c>
      <c r="C212" s="122">
        <f>'REV &amp; COGS'!J58</f>
        <v>0</v>
      </c>
      <c r="D212" s="98">
        <f>'REV &amp; COGS'!K58</f>
        <v>0</v>
      </c>
      <c r="E212" s="99" t="str">
        <f>'REV &amp; COGS'!L58</f>
        <v/>
      </c>
      <c r="F212" s="99" t="str">
        <f>'REV &amp; COGS'!M58</f>
        <v/>
      </c>
      <c r="G212" s="100" t="str">
        <f>'REV &amp; COGS'!N58</f>
        <v/>
      </c>
      <c r="H212" s="101" t="str">
        <f>'REV &amp; COGS'!O58</f>
        <v/>
      </c>
    </row>
    <row r="213" spans="2:8" ht="12.3" hidden="1">
      <c r="B213" s="4" t="str">
        <f>'REV &amp; COGS'!A59</f>
        <v/>
      </c>
      <c r="C213" s="98">
        <f>'REV &amp; COGS'!J59</f>
        <v>0</v>
      </c>
      <c r="D213" s="98">
        <f>'REV &amp; COGS'!K59</f>
        <v>0</v>
      </c>
      <c r="E213" s="99" t="str">
        <f>'REV &amp; COGS'!L59</f>
        <v/>
      </c>
      <c r="F213" s="99" t="str">
        <f>'REV &amp; COGS'!M59</f>
        <v/>
      </c>
      <c r="G213" s="100" t="str">
        <f>'REV &amp; COGS'!N59</f>
        <v/>
      </c>
      <c r="H213" s="101" t="str">
        <f>'REV &amp; COGS'!O59</f>
        <v/>
      </c>
    </row>
    <row r="214" spans="2:8" ht="12.3" hidden="1">
      <c r="B214" s="4" t="str">
        <f>'REV &amp; COGS'!A60</f>
        <v/>
      </c>
      <c r="C214" s="98">
        <f>'REV &amp; COGS'!J60</f>
        <v>0</v>
      </c>
      <c r="D214" s="98">
        <f>'REV &amp; COGS'!K60</f>
        <v>0</v>
      </c>
      <c r="E214" s="99" t="str">
        <f>'REV &amp; COGS'!L60</f>
        <v/>
      </c>
      <c r="F214" s="99" t="str">
        <f>'REV &amp; COGS'!M60</f>
        <v/>
      </c>
      <c r="G214" s="100" t="str">
        <f>'REV &amp; COGS'!N60</f>
        <v/>
      </c>
      <c r="H214" s="101" t="str">
        <f>'REV &amp; COGS'!O60</f>
        <v/>
      </c>
    </row>
    <row r="215" spans="2:8" ht="12.3" hidden="1">
      <c r="B215" s="4" t="str">
        <f>'REV &amp; COGS'!A61</f>
        <v/>
      </c>
      <c r="C215" s="98">
        <f>'REV &amp; COGS'!J61</f>
        <v>0</v>
      </c>
      <c r="D215" s="98">
        <f>'REV &amp; COGS'!K61</f>
        <v>0</v>
      </c>
      <c r="E215" s="99" t="str">
        <f>'REV &amp; COGS'!L61</f>
        <v/>
      </c>
      <c r="F215" s="99" t="str">
        <f>'REV &amp; COGS'!M61</f>
        <v/>
      </c>
      <c r="G215" s="100" t="str">
        <f>'REV &amp; COGS'!N61</f>
        <v/>
      </c>
      <c r="H215" s="101" t="str">
        <f>'REV &amp; COGS'!O61</f>
        <v/>
      </c>
    </row>
    <row r="216" spans="2:8" ht="12.3" hidden="1">
      <c r="B216" s="4" t="str">
        <f>'REV &amp; COGS'!A62</f>
        <v/>
      </c>
      <c r="C216" s="98">
        <f>'REV &amp; COGS'!J62</f>
        <v>0</v>
      </c>
      <c r="D216" s="98">
        <f>'REV &amp; COGS'!K62</f>
        <v>0</v>
      </c>
      <c r="E216" s="99" t="str">
        <f>'REV &amp; COGS'!L62</f>
        <v/>
      </c>
      <c r="F216" s="99" t="str">
        <f>'REV &amp; COGS'!M62</f>
        <v/>
      </c>
      <c r="G216" s="100" t="str">
        <f>'REV &amp; COGS'!N62</f>
        <v/>
      </c>
      <c r="H216" s="101" t="str">
        <f>'REV &amp; COGS'!O62</f>
        <v/>
      </c>
    </row>
    <row r="217" spans="2:8" ht="12.3" hidden="1">
      <c r="B217" s="4" t="str">
        <f>'REV &amp; COGS'!A63</f>
        <v/>
      </c>
      <c r="C217" s="98">
        <f>'REV &amp; COGS'!J63</f>
        <v>0</v>
      </c>
      <c r="D217" s="98">
        <f>'REV &amp; COGS'!K63</f>
        <v>0</v>
      </c>
      <c r="E217" s="99" t="str">
        <f>'REV &amp; COGS'!L63</f>
        <v/>
      </c>
      <c r="F217" s="99" t="str">
        <f>'REV &amp; COGS'!M63</f>
        <v/>
      </c>
      <c r="G217" s="100" t="str">
        <f>'REV &amp; COGS'!N63</f>
        <v/>
      </c>
      <c r="H217" s="101" t="str">
        <f>'REV &amp; COGS'!O63</f>
        <v/>
      </c>
    </row>
    <row r="218" spans="2:8" ht="12.3" hidden="1">
      <c r="B218" s="4" t="str">
        <f>'REV &amp; COGS'!A64</f>
        <v/>
      </c>
      <c r="C218" s="98">
        <f>'REV &amp; COGS'!J64</f>
        <v>0</v>
      </c>
      <c r="D218" s="98">
        <f>'REV &amp; COGS'!K64</f>
        <v>0</v>
      </c>
      <c r="E218" s="99" t="str">
        <f>'REV &amp; COGS'!L64</f>
        <v/>
      </c>
      <c r="F218" s="99" t="str">
        <f>'REV &amp; COGS'!M64</f>
        <v/>
      </c>
      <c r="G218" s="100" t="str">
        <f>'REV &amp; COGS'!N64</f>
        <v/>
      </c>
      <c r="H218" s="101" t="str">
        <f>'REV &amp; COGS'!O64</f>
        <v/>
      </c>
    </row>
    <row r="219" spans="2:8" ht="12.3" hidden="1">
      <c r="B219" s="4" t="str">
        <f>'REV &amp; COGS'!A65</f>
        <v/>
      </c>
      <c r="C219" s="98">
        <f>'REV &amp; COGS'!J65</f>
        <v>0</v>
      </c>
      <c r="D219" s="98">
        <f>'REV &amp; COGS'!K65</f>
        <v>0</v>
      </c>
      <c r="E219" s="99" t="str">
        <f>'REV &amp; COGS'!L65</f>
        <v/>
      </c>
      <c r="F219" s="99" t="str">
        <f>'REV &amp; COGS'!M65</f>
        <v/>
      </c>
      <c r="G219" s="100" t="str">
        <f>'REV &amp; COGS'!N65</f>
        <v/>
      </c>
      <c r="H219" s="101" t="str">
        <f>'REV &amp; COGS'!O65</f>
        <v/>
      </c>
    </row>
    <row r="220" spans="2:8" ht="12.3" hidden="1">
      <c r="B220" s="4" t="str">
        <f>'REV &amp; COGS'!A66</f>
        <v/>
      </c>
      <c r="C220" s="98">
        <f>'REV &amp; COGS'!J66</f>
        <v>0</v>
      </c>
      <c r="D220" s="98">
        <f>'REV &amp; COGS'!K66</f>
        <v>0</v>
      </c>
      <c r="E220" s="99" t="str">
        <f>'REV &amp; COGS'!L66</f>
        <v/>
      </c>
      <c r="F220" s="99" t="str">
        <f>'REV &amp; COGS'!M66</f>
        <v/>
      </c>
      <c r="G220" s="100" t="str">
        <f>'REV &amp; COGS'!N66</f>
        <v/>
      </c>
      <c r="H220" s="101" t="str">
        <f>'REV &amp; COGS'!O66</f>
        <v/>
      </c>
    </row>
    <row r="221" spans="2:8" ht="12.3" hidden="1">
      <c r="B221" s="4" t="str">
        <f>'REV &amp; COGS'!A67</f>
        <v/>
      </c>
      <c r="C221" s="98">
        <f>'REV &amp; COGS'!J67</f>
        <v>0</v>
      </c>
      <c r="D221" s="98">
        <f>'REV &amp; COGS'!K67</f>
        <v>0</v>
      </c>
      <c r="E221" s="99" t="str">
        <f>'REV &amp; COGS'!L67</f>
        <v/>
      </c>
      <c r="F221" s="99" t="str">
        <f>'REV &amp; COGS'!M67</f>
        <v/>
      </c>
      <c r="G221" s="100" t="str">
        <f>'REV &amp; COGS'!N67</f>
        <v/>
      </c>
      <c r="H221" s="101" t="str">
        <f>'REV &amp; COGS'!O67</f>
        <v/>
      </c>
    </row>
    <row r="222" spans="2:8" ht="12.3" hidden="1">
      <c r="B222" s="4" t="str">
        <f>'REV &amp; COGS'!A68</f>
        <v/>
      </c>
      <c r="C222" s="98">
        <f>'REV &amp; COGS'!J68</f>
        <v>0</v>
      </c>
      <c r="D222" s="98">
        <f>'REV &amp; COGS'!K68</f>
        <v>0</v>
      </c>
      <c r="E222" s="99" t="str">
        <f>'REV &amp; COGS'!L68</f>
        <v/>
      </c>
      <c r="F222" s="99" t="str">
        <f>'REV &amp; COGS'!M68</f>
        <v/>
      </c>
      <c r="G222" s="100" t="str">
        <f>'REV &amp; COGS'!N68</f>
        <v/>
      </c>
      <c r="H222" s="101" t="str">
        <f>'REV &amp; COGS'!O68</f>
        <v/>
      </c>
    </row>
    <row r="223" spans="2:8" ht="12.3">
      <c r="B223" s="21" t="str">
        <f>'REV &amp; COGS'!A69</f>
        <v>Totals</v>
      </c>
      <c r="C223" s="94">
        <f>'REV &amp; COGS'!J69</f>
        <v>0</v>
      </c>
      <c r="D223" s="94">
        <f>'REV &amp; COGS'!K69</f>
        <v>0</v>
      </c>
      <c r="E223" s="95">
        <f>'REV &amp; COGS'!L69</f>
        <v>0</v>
      </c>
      <c r="F223" s="95">
        <f>'REV &amp; COGS'!M69</f>
        <v>0</v>
      </c>
      <c r="G223" s="102">
        <f>'REV &amp; COGS'!N69</f>
        <v>0</v>
      </c>
      <c r="H223" s="103">
        <f>'REV &amp; COGS'!O69</f>
        <v>0</v>
      </c>
    </row>
    <row r="224" spans="2:8" ht="12.3">
      <c r="B224" s="13">
        <f>'REV &amp; COGS'!A70</f>
        <v>0</v>
      </c>
    </row>
    <row r="225" spans="1:26" ht="12.3">
      <c r="B225" s="13" t="s">
        <v>674</v>
      </c>
    </row>
    <row r="226" spans="1:26" ht="49.2">
      <c r="A226" s="45"/>
      <c r="B226" s="74" t="str">
        <f>'Plant &amp; Fish Production'!F64</f>
        <v>Crops</v>
      </c>
      <c r="C226" s="75" t="str">
        <f>'Plant &amp; Fish Production'!G64</f>
        <v># of Beds</v>
      </c>
      <c r="D226" s="75" t="str">
        <f>'Plant &amp; Fish Production'!H64</f>
        <v>% of total</v>
      </c>
      <c r="E226" s="75" t="str">
        <f>'Plant &amp; Fish Production'!I64</f>
        <v>Plants per bed</v>
      </c>
      <c r="F226" s="75" t="str">
        <f>'Plant &amp; Fish Production'!J64</f>
        <v>Plant Density per ft2</v>
      </c>
      <c r="G226" s="75" t="str">
        <f>'Plant &amp; Fish Production'!K64</f>
        <v>Plantings per season</v>
      </c>
      <c r="H226" s="75" t="str">
        <f>'Plant &amp; Fish Production'!L64</f>
        <v>Total Plants</v>
      </c>
      <c r="I226" s="76" t="str">
        <f>'Plant &amp; Fish Production'!M64</f>
        <v>Avg. yield per plant in lbs</v>
      </c>
      <c r="J226" s="75" t="str">
        <f>'Plant &amp; Fish Production'!N64</f>
        <v>Total lbs</v>
      </c>
      <c r="K226" s="77" t="str">
        <f>'Plant &amp; Fish Production'!O64</f>
        <v>Loss Rate</v>
      </c>
      <c r="L226" s="75" t="str">
        <f>'Plant &amp; Fish Production'!P64</f>
        <v>Net lbs</v>
      </c>
      <c r="M226" s="45"/>
      <c r="N226" s="45"/>
      <c r="O226" s="45"/>
      <c r="P226" s="45"/>
      <c r="Q226" s="45"/>
      <c r="R226" s="45"/>
      <c r="S226" s="45"/>
      <c r="T226" s="45"/>
      <c r="U226" s="45"/>
      <c r="V226" s="45"/>
      <c r="W226" s="45"/>
      <c r="X226" s="45"/>
      <c r="Y226" s="45"/>
      <c r="Z226" s="45"/>
    </row>
    <row r="227" spans="1:26" ht="12.3">
      <c r="B227" s="10">
        <f>'Plant &amp; Fish Production'!F65</f>
        <v>0</v>
      </c>
      <c r="C227" s="19">
        <f>'Plant &amp; Fish Production'!G65</f>
        <v>0</v>
      </c>
      <c r="D227" s="47" t="str">
        <f>'Plant &amp; Fish Production'!H65</f>
        <v/>
      </c>
      <c r="E227" s="19">
        <f>'Plant &amp; Fish Production'!I65</f>
        <v>0</v>
      </c>
      <c r="F227" s="78" t="str">
        <f>'Plant &amp; Fish Production'!J65</f>
        <v/>
      </c>
      <c r="G227" s="78">
        <f>'Plant &amp; Fish Production'!K65</f>
        <v>0</v>
      </c>
      <c r="H227" s="42" t="str">
        <f>'Plant &amp; Fish Production'!L65</f>
        <v/>
      </c>
      <c r="I227" s="78">
        <f>'Plant &amp; Fish Production'!M65</f>
        <v>0</v>
      </c>
      <c r="J227" s="42" t="str">
        <f>'Plant &amp; Fish Production'!N65</f>
        <v/>
      </c>
      <c r="K227" s="47">
        <f>'Plant &amp; Fish Production'!O65</f>
        <v>0</v>
      </c>
      <c r="L227" s="42" t="str">
        <f>'Plant &amp; Fish Production'!P65</f>
        <v/>
      </c>
    </row>
    <row r="228" spans="1:26" ht="12.3">
      <c r="B228" s="10">
        <f>'Plant &amp; Fish Production'!F66</f>
        <v>0</v>
      </c>
      <c r="C228" s="19">
        <f>'Plant &amp; Fish Production'!G66</f>
        <v>0</v>
      </c>
      <c r="D228" s="47" t="str">
        <f>'Plant &amp; Fish Production'!H66</f>
        <v/>
      </c>
      <c r="E228" s="19">
        <f>'Plant &amp; Fish Production'!I66</f>
        <v>0</v>
      </c>
      <c r="F228" s="78" t="str">
        <f>'Plant &amp; Fish Production'!J66</f>
        <v/>
      </c>
      <c r="G228" s="78">
        <f>'Plant &amp; Fish Production'!K66</f>
        <v>0</v>
      </c>
      <c r="H228" s="42" t="str">
        <f>'Plant &amp; Fish Production'!L66</f>
        <v/>
      </c>
      <c r="I228" s="78">
        <f>'Plant &amp; Fish Production'!M66</f>
        <v>0</v>
      </c>
      <c r="J228" s="42" t="str">
        <f>'Plant &amp; Fish Production'!N66</f>
        <v/>
      </c>
      <c r="K228" s="47">
        <f>'Plant &amp; Fish Production'!O66</f>
        <v>0</v>
      </c>
      <c r="L228" s="42" t="str">
        <f>'Plant &amp; Fish Production'!P66</f>
        <v/>
      </c>
    </row>
    <row r="229" spans="1:26" ht="12.3" hidden="1">
      <c r="B229" s="10">
        <f>'Plant &amp; Fish Production'!F67</f>
        <v>0</v>
      </c>
      <c r="C229" s="19">
        <f>'Plant &amp; Fish Production'!G67</f>
        <v>0</v>
      </c>
      <c r="D229" s="47" t="str">
        <f>'Plant &amp; Fish Production'!H67</f>
        <v/>
      </c>
      <c r="E229" s="19">
        <f>'Plant &amp; Fish Production'!I67</f>
        <v>0</v>
      </c>
      <c r="F229" s="78" t="str">
        <f>'Plant &amp; Fish Production'!J67</f>
        <v/>
      </c>
      <c r="G229" s="78">
        <f>'Plant &amp; Fish Production'!K67</f>
        <v>0</v>
      </c>
      <c r="H229" s="42" t="str">
        <f>'Plant &amp; Fish Production'!L67</f>
        <v/>
      </c>
      <c r="I229" s="78">
        <f>'Plant &amp; Fish Production'!M67</f>
        <v>0</v>
      </c>
      <c r="J229" s="42" t="str">
        <f>'Plant &amp; Fish Production'!N67</f>
        <v/>
      </c>
      <c r="K229" s="47">
        <f>'Plant &amp; Fish Production'!O67</f>
        <v>0</v>
      </c>
      <c r="L229" s="42" t="str">
        <f>'Plant &amp; Fish Production'!P67</f>
        <v/>
      </c>
    </row>
    <row r="230" spans="1:26" ht="12.3" hidden="1">
      <c r="B230" s="10">
        <f>'Plant &amp; Fish Production'!F68</f>
        <v>0</v>
      </c>
      <c r="C230" s="19">
        <f>'Plant &amp; Fish Production'!G68</f>
        <v>0</v>
      </c>
      <c r="D230" s="47" t="str">
        <f>'Plant &amp; Fish Production'!H68</f>
        <v/>
      </c>
      <c r="E230" s="19">
        <f>'Plant &amp; Fish Production'!I68</f>
        <v>0</v>
      </c>
      <c r="F230" s="78" t="str">
        <f>'Plant &amp; Fish Production'!J68</f>
        <v/>
      </c>
      <c r="G230" s="78">
        <f>'Plant &amp; Fish Production'!K68</f>
        <v>0</v>
      </c>
      <c r="H230" s="42" t="str">
        <f>'Plant &amp; Fish Production'!L68</f>
        <v/>
      </c>
      <c r="I230" s="78">
        <f>'Plant &amp; Fish Production'!M68</f>
        <v>0</v>
      </c>
      <c r="J230" s="42" t="str">
        <f>'Plant &amp; Fish Production'!N68</f>
        <v/>
      </c>
      <c r="K230" s="47">
        <f>'Plant &amp; Fish Production'!O68</f>
        <v>0</v>
      </c>
      <c r="L230" s="42" t="str">
        <f>'Plant &amp; Fish Production'!P68</f>
        <v/>
      </c>
    </row>
    <row r="231" spans="1:26" ht="12.3" hidden="1">
      <c r="B231" s="10">
        <f>'Plant &amp; Fish Production'!F69</f>
        <v>0</v>
      </c>
      <c r="C231" s="19">
        <f>'Plant &amp; Fish Production'!G69</f>
        <v>0</v>
      </c>
      <c r="D231" s="47" t="str">
        <f>'Plant &amp; Fish Production'!H69</f>
        <v/>
      </c>
      <c r="E231" s="19">
        <f>'Plant &amp; Fish Production'!I69</f>
        <v>0</v>
      </c>
      <c r="F231" s="78" t="str">
        <f>'Plant &amp; Fish Production'!J69</f>
        <v/>
      </c>
      <c r="G231" s="78">
        <f>'Plant &amp; Fish Production'!K69</f>
        <v>0</v>
      </c>
      <c r="H231" s="42" t="str">
        <f>'Plant &amp; Fish Production'!L69</f>
        <v/>
      </c>
      <c r="I231" s="78">
        <f>'Plant &amp; Fish Production'!M69</f>
        <v>0</v>
      </c>
      <c r="J231" s="42" t="str">
        <f>'Plant &amp; Fish Production'!N69</f>
        <v/>
      </c>
      <c r="K231" s="47">
        <f>'Plant &amp; Fish Production'!O69</f>
        <v>0</v>
      </c>
      <c r="L231" s="42" t="str">
        <f>'Plant &amp; Fish Production'!P69</f>
        <v/>
      </c>
    </row>
    <row r="232" spans="1:26" ht="12.3" hidden="1">
      <c r="B232" s="10">
        <f>'Plant &amp; Fish Production'!F70</f>
        <v>0</v>
      </c>
      <c r="C232" s="19">
        <f>'Plant &amp; Fish Production'!G70</f>
        <v>0</v>
      </c>
      <c r="D232" s="47" t="str">
        <f>'Plant &amp; Fish Production'!H70</f>
        <v/>
      </c>
      <c r="E232" s="19">
        <f>'Plant &amp; Fish Production'!I70</f>
        <v>0</v>
      </c>
      <c r="F232" s="78" t="str">
        <f>'Plant &amp; Fish Production'!J70</f>
        <v/>
      </c>
      <c r="G232" s="78">
        <f>'Plant &amp; Fish Production'!K70</f>
        <v>0</v>
      </c>
      <c r="H232" s="42" t="str">
        <f>'Plant &amp; Fish Production'!L70</f>
        <v/>
      </c>
      <c r="I232" s="78">
        <f>'Plant &amp; Fish Production'!M70</f>
        <v>0</v>
      </c>
      <c r="J232" s="42" t="str">
        <f>'Plant &amp; Fish Production'!N70</f>
        <v/>
      </c>
      <c r="K232" s="47">
        <f>'Plant &amp; Fish Production'!O70</f>
        <v>0</v>
      </c>
      <c r="L232" s="42" t="str">
        <f>'Plant &amp; Fish Production'!P70</f>
        <v/>
      </c>
    </row>
    <row r="233" spans="1:26" ht="12.3" hidden="1">
      <c r="B233" s="10">
        <f>'Plant &amp; Fish Production'!F71</f>
        <v>0</v>
      </c>
      <c r="C233" s="19">
        <f>'Plant &amp; Fish Production'!G71</f>
        <v>0</v>
      </c>
      <c r="D233" s="47" t="str">
        <f>'Plant &amp; Fish Production'!H71</f>
        <v/>
      </c>
      <c r="E233" s="19">
        <f>'Plant &amp; Fish Production'!I71</f>
        <v>0</v>
      </c>
      <c r="F233" s="78" t="str">
        <f>'Plant &amp; Fish Production'!J71</f>
        <v/>
      </c>
      <c r="G233" s="78">
        <f>'Plant &amp; Fish Production'!K71</f>
        <v>0</v>
      </c>
      <c r="H233" s="42" t="str">
        <f>'Plant &amp; Fish Production'!L71</f>
        <v/>
      </c>
      <c r="I233" s="78">
        <f>'Plant &amp; Fish Production'!M71</f>
        <v>0</v>
      </c>
      <c r="J233" s="42" t="str">
        <f>'Plant &amp; Fish Production'!N71</f>
        <v/>
      </c>
      <c r="K233" s="47">
        <f>'Plant &amp; Fish Production'!O71</f>
        <v>0</v>
      </c>
      <c r="L233" s="42" t="str">
        <f>'Plant &amp; Fish Production'!P71</f>
        <v/>
      </c>
    </row>
    <row r="234" spans="1:26" ht="12.3" hidden="1">
      <c r="B234" s="10">
        <f>'Plant &amp; Fish Production'!F72</f>
        <v>0</v>
      </c>
      <c r="C234" s="19">
        <f>'Plant &amp; Fish Production'!G72</f>
        <v>0</v>
      </c>
      <c r="D234" s="47" t="str">
        <f>'Plant &amp; Fish Production'!H72</f>
        <v/>
      </c>
      <c r="E234" s="19">
        <f>'Plant &amp; Fish Production'!I72</f>
        <v>0</v>
      </c>
      <c r="F234" s="78" t="str">
        <f>'Plant &amp; Fish Production'!J72</f>
        <v/>
      </c>
      <c r="G234" s="78">
        <f>'Plant &amp; Fish Production'!K72</f>
        <v>0</v>
      </c>
      <c r="H234" s="42" t="str">
        <f>'Plant &amp; Fish Production'!L72</f>
        <v/>
      </c>
      <c r="I234" s="78">
        <f>'Plant &amp; Fish Production'!M72</f>
        <v>0</v>
      </c>
      <c r="J234" s="42" t="str">
        <f>'Plant &amp; Fish Production'!N72</f>
        <v/>
      </c>
      <c r="K234" s="47">
        <f>'Plant &amp; Fish Production'!O72</f>
        <v>0</v>
      </c>
      <c r="L234" s="42" t="str">
        <f>'Plant &amp; Fish Production'!P72</f>
        <v/>
      </c>
    </row>
    <row r="235" spans="1:26" ht="12.3" hidden="1">
      <c r="B235" s="10">
        <f>'Plant &amp; Fish Production'!F73</f>
        <v>0</v>
      </c>
      <c r="C235" s="19">
        <f>'Plant &amp; Fish Production'!G73</f>
        <v>0</v>
      </c>
      <c r="D235" s="47" t="str">
        <f>'Plant &amp; Fish Production'!H73</f>
        <v/>
      </c>
      <c r="E235" s="19">
        <f>'Plant &amp; Fish Production'!I73</f>
        <v>0</v>
      </c>
      <c r="F235" s="78" t="str">
        <f>'Plant &amp; Fish Production'!J73</f>
        <v/>
      </c>
      <c r="G235" s="78">
        <f>'Plant &amp; Fish Production'!K73</f>
        <v>0</v>
      </c>
      <c r="H235" s="42" t="str">
        <f>'Plant &amp; Fish Production'!L73</f>
        <v/>
      </c>
      <c r="I235" s="78">
        <f>'Plant &amp; Fish Production'!M73</f>
        <v>0</v>
      </c>
      <c r="J235" s="42" t="str">
        <f>'Plant &amp; Fish Production'!N73</f>
        <v/>
      </c>
      <c r="K235" s="47">
        <f>'Plant &amp; Fish Production'!O73</f>
        <v>0</v>
      </c>
      <c r="L235" s="42" t="str">
        <f>'Plant &amp; Fish Production'!P73</f>
        <v/>
      </c>
    </row>
    <row r="236" spans="1:26" ht="12.3" hidden="1">
      <c r="B236" s="10">
        <f>'Plant &amp; Fish Production'!F74</f>
        <v>0</v>
      </c>
      <c r="C236" s="19">
        <f>'Plant &amp; Fish Production'!G74</f>
        <v>0</v>
      </c>
      <c r="D236" s="47" t="str">
        <f>'Plant &amp; Fish Production'!H74</f>
        <v/>
      </c>
      <c r="E236" s="19">
        <f>'Plant &amp; Fish Production'!I74</f>
        <v>0</v>
      </c>
      <c r="F236" s="78" t="str">
        <f>'Plant &amp; Fish Production'!J74</f>
        <v/>
      </c>
      <c r="G236" s="78">
        <f>'Plant &amp; Fish Production'!K74</f>
        <v>0</v>
      </c>
      <c r="H236" s="42" t="str">
        <f>'Plant &amp; Fish Production'!L74</f>
        <v/>
      </c>
      <c r="I236" s="78">
        <f>'Plant &amp; Fish Production'!M74</f>
        <v>0</v>
      </c>
      <c r="J236" s="42" t="str">
        <f>'Plant &amp; Fish Production'!N74</f>
        <v/>
      </c>
      <c r="K236" s="47">
        <f>'Plant &amp; Fish Production'!O74</f>
        <v>0</v>
      </c>
      <c r="L236" s="42" t="str">
        <f>'Plant &amp; Fish Production'!P74</f>
        <v/>
      </c>
    </row>
    <row r="237" spans="1:26" ht="12.3" hidden="1">
      <c r="B237" s="10">
        <f>'Plant &amp; Fish Production'!F75</f>
        <v>0</v>
      </c>
      <c r="C237" s="19">
        <f>'Plant &amp; Fish Production'!G75</f>
        <v>0</v>
      </c>
      <c r="D237" s="47" t="str">
        <f>'Plant &amp; Fish Production'!H75</f>
        <v/>
      </c>
      <c r="E237" s="19">
        <f>'Plant &amp; Fish Production'!I75</f>
        <v>0</v>
      </c>
      <c r="F237" s="78" t="str">
        <f>'Plant &amp; Fish Production'!J75</f>
        <v/>
      </c>
      <c r="G237" s="78">
        <f>'Plant &amp; Fish Production'!K75</f>
        <v>0</v>
      </c>
      <c r="H237" s="42" t="str">
        <f>'Plant &amp; Fish Production'!L75</f>
        <v/>
      </c>
      <c r="I237" s="78">
        <f>'Plant &amp; Fish Production'!M75</f>
        <v>0</v>
      </c>
      <c r="J237" s="42" t="str">
        <f>'Plant &amp; Fish Production'!N75</f>
        <v/>
      </c>
      <c r="K237" s="47">
        <f>'Plant &amp; Fish Production'!O75</f>
        <v>0</v>
      </c>
      <c r="L237" s="42" t="str">
        <f>'Plant &amp; Fish Production'!P75</f>
        <v/>
      </c>
    </row>
    <row r="238" spans="1:26" ht="12.3" hidden="1">
      <c r="B238" s="10">
        <f>'Plant &amp; Fish Production'!F76</f>
        <v>0</v>
      </c>
      <c r="C238" s="19">
        <f>'Plant &amp; Fish Production'!G76</f>
        <v>0</v>
      </c>
      <c r="D238" s="47" t="str">
        <f>'Plant &amp; Fish Production'!H76</f>
        <v/>
      </c>
      <c r="E238" s="19">
        <f>'Plant &amp; Fish Production'!I76</f>
        <v>0</v>
      </c>
      <c r="F238" s="78" t="str">
        <f>'Plant &amp; Fish Production'!J76</f>
        <v/>
      </c>
      <c r="G238" s="78">
        <f>'Plant &amp; Fish Production'!K76</f>
        <v>0</v>
      </c>
      <c r="H238" s="42" t="str">
        <f>'Plant &amp; Fish Production'!L76</f>
        <v/>
      </c>
      <c r="I238" s="78">
        <f>'Plant &amp; Fish Production'!M76</f>
        <v>0</v>
      </c>
      <c r="J238" s="42" t="str">
        <f>'Plant &amp; Fish Production'!N76</f>
        <v/>
      </c>
      <c r="K238" s="47">
        <f>'Plant &amp; Fish Production'!O76</f>
        <v>0</v>
      </c>
      <c r="L238" s="42" t="str">
        <f>'Plant &amp; Fish Production'!P76</f>
        <v/>
      </c>
    </row>
    <row r="239" spans="1:26" ht="12.3" hidden="1">
      <c r="B239" s="10">
        <f>'Plant &amp; Fish Production'!F77</f>
        <v>0</v>
      </c>
      <c r="C239" s="19">
        <f>'Plant &amp; Fish Production'!G77</f>
        <v>0</v>
      </c>
      <c r="D239" s="47" t="str">
        <f>'Plant &amp; Fish Production'!H77</f>
        <v/>
      </c>
      <c r="E239" s="19">
        <f>'Plant &amp; Fish Production'!I77</f>
        <v>0</v>
      </c>
      <c r="F239" s="78" t="str">
        <f>'Plant &amp; Fish Production'!J77</f>
        <v/>
      </c>
      <c r="G239" s="78">
        <f>'Plant &amp; Fish Production'!K77</f>
        <v>0</v>
      </c>
      <c r="H239" s="42" t="str">
        <f>'Plant &amp; Fish Production'!L77</f>
        <v/>
      </c>
      <c r="I239" s="78">
        <f>'Plant &amp; Fish Production'!M77</f>
        <v>0</v>
      </c>
      <c r="J239" s="42" t="str">
        <f>'Plant &amp; Fish Production'!N77</f>
        <v/>
      </c>
      <c r="K239" s="47">
        <f>'Plant &amp; Fish Production'!O77</f>
        <v>0</v>
      </c>
      <c r="L239" s="42" t="str">
        <f>'Plant &amp; Fish Production'!P77</f>
        <v/>
      </c>
    </row>
    <row r="240" spans="1:26" ht="12.3" hidden="1">
      <c r="B240" s="10">
        <f>'Plant &amp; Fish Production'!F78</f>
        <v>0</v>
      </c>
      <c r="C240" s="19">
        <f>'Plant &amp; Fish Production'!G78</f>
        <v>0</v>
      </c>
      <c r="D240" s="47" t="str">
        <f>'Plant &amp; Fish Production'!H78</f>
        <v/>
      </c>
      <c r="E240" s="19">
        <f>'Plant &amp; Fish Production'!I78</f>
        <v>0</v>
      </c>
      <c r="F240" s="78" t="str">
        <f>'Plant &amp; Fish Production'!J78</f>
        <v/>
      </c>
      <c r="G240" s="78">
        <f>'Plant &amp; Fish Production'!K78</f>
        <v>0</v>
      </c>
      <c r="H240" s="42" t="str">
        <f>'Plant &amp; Fish Production'!L78</f>
        <v/>
      </c>
      <c r="I240" s="78">
        <f>'Plant &amp; Fish Production'!M78</f>
        <v>0</v>
      </c>
      <c r="J240" s="42" t="str">
        <f>'Plant &amp; Fish Production'!N78</f>
        <v/>
      </c>
      <c r="K240" s="47">
        <f>'Plant &amp; Fish Production'!O78</f>
        <v>0</v>
      </c>
      <c r="L240" s="42" t="str">
        <f>'Plant &amp; Fish Production'!P78</f>
        <v/>
      </c>
    </row>
    <row r="241" spans="1:26" ht="12.3">
      <c r="B241" s="68" t="str">
        <f>'Plant &amp; Fish Production'!F79</f>
        <v>Totals</v>
      </c>
      <c r="C241" s="70">
        <f>'Plant &amp; Fish Production'!G79</f>
        <v>0</v>
      </c>
      <c r="D241" s="70">
        <f>'Plant &amp; Fish Production'!H79</f>
        <v>0</v>
      </c>
      <c r="E241" s="70">
        <f>'Plant &amp; Fish Production'!I79</f>
        <v>0</v>
      </c>
      <c r="F241" s="70"/>
      <c r="G241" s="70">
        <f>'Plant &amp; Fish Production'!K79</f>
        <v>0</v>
      </c>
      <c r="H241" s="38">
        <f>'Plant &amp; Fish Production'!L79</f>
        <v>0</v>
      </c>
      <c r="I241" s="79">
        <f>'Plant &amp; Fish Production'!M79</f>
        <v>0</v>
      </c>
      <c r="J241" s="38">
        <f>'Plant &amp; Fish Production'!N79</f>
        <v>0</v>
      </c>
      <c r="K241" s="70">
        <f>'Plant &amp; Fish Production'!O79</f>
        <v>0</v>
      </c>
      <c r="L241" s="38">
        <f>'Plant &amp; Fish Production'!P79</f>
        <v>0</v>
      </c>
    </row>
    <row r="243" spans="1:26" ht="12.3">
      <c r="B243" s="13" t="s">
        <v>675</v>
      </c>
    </row>
    <row r="244" spans="1:26" ht="24.6">
      <c r="A244" s="45"/>
      <c r="B244" s="87" t="str">
        <f>'REV &amp; COGS'!A72</f>
        <v>Crops</v>
      </c>
      <c r="C244" s="87" t="str">
        <f>'REV &amp; COGS'!J72</f>
        <v>Product Sold by</v>
      </c>
      <c r="D244" s="87" t="str">
        <f>'REV &amp; COGS'!K72</f>
        <v>Packaging Type</v>
      </c>
      <c r="E244" s="88" t="str">
        <f>'REV &amp; COGS'!N72</f>
        <v>Units Sold</v>
      </c>
      <c r="F244" s="88" t="str">
        <f>'REV &amp; COGS'!P72</f>
        <v>Sale $ per unit</v>
      </c>
      <c r="G244" s="88" t="str">
        <f>'REV &amp; COGS'!Q72</f>
        <v>Oct - Mar Revenue</v>
      </c>
      <c r="H244" s="88" t="str">
        <f>'REV &amp; COGS'!R72</f>
        <v>Avg Mth</v>
      </c>
      <c r="I244" s="45">
        <f>'REV &amp; COGS'!T54</f>
        <v>0</v>
      </c>
      <c r="J244" s="45"/>
      <c r="K244" s="45"/>
      <c r="L244" s="45"/>
      <c r="M244" s="45"/>
      <c r="N244" s="45"/>
      <c r="O244" s="45"/>
      <c r="P244" s="45"/>
      <c r="Q244" s="45"/>
      <c r="R244" s="45"/>
      <c r="S244" s="45"/>
      <c r="T244" s="45"/>
      <c r="U244" s="45"/>
      <c r="V244" s="45"/>
      <c r="W244" s="45"/>
      <c r="X244" s="45"/>
      <c r="Y244" s="45"/>
      <c r="Z244" s="45"/>
    </row>
    <row r="245" spans="1:26" ht="12.3">
      <c r="B245" s="18" t="str">
        <f>'REV &amp; COGS'!A73</f>
        <v/>
      </c>
      <c r="C245" s="123">
        <f>'REV &amp; COGS'!J73</f>
        <v>0</v>
      </c>
      <c r="D245" s="18">
        <f>'REV &amp; COGS'!K73</f>
        <v>0</v>
      </c>
      <c r="E245" s="124" t="str">
        <f>'REV &amp; COGS'!N73</f>
        <v/>
      </c>
      <c r="F245" s="93">
        <f>'REV &amp; COGS'!P73</f>
        <v>0</v>
      </c>
      <c r="G245" s="91" t="str">
        <f>'REV &amp; COGS'!Q73</f>
        <v/>
      </c>
      <c r="H245" s="91" t="str">
        <f>'REV &amp; COGS'!R73</f>
        <v/>
      </c>
    </row>
    <row r="246" spans="1:26" ht="12.3">
      <c r="B246" s="18" t="str">
        <f>'REV &amp; COGS'!A74</f>
        <v/>
      </c>
      <c r="C246" s="123">
        <f>'REV &amp; COGS'!J74</f>
        <v>0</v>
      </c>
      <c r="D246" s="18">
        <f>'REV &amp; COGS'!K74</f>
        <v>0</v>
      </c>
      <c r="E246" s="124" t="str">
        <f>'REV &amp; COGS'!N74</f>
        <v/>
      </c>
      <c r="F246" s="93">
        <f>'REV &amp; COGS'!P74</f>
        <v>0</v>
      </c>
      <c r="G246" s="91" t="str">
        <f>'REV &amp; COGS'!Q74</f>
        <v/>
      </c>
      <c r="H246" s="91" t="str">
        <f>'REV &amp; COGS'!R74</f>
        <v/>
      </c>
    </row>
    <row r="247" spans="1:26" ht="12.3" hidden="1">
      <c r="B247" s="18" t="str">
        <f>'REV &amp; COGS'!A75</f>
        <v/>
      </c>
      <c r="C247" s="18">
        <f>'REV &amp; COGS'!J75</f>
        <v>0</v>
      </c>
      <c r="D247" s="18">
        <f>'REV &amp; COGS'!K75</f>
        <v>0</v>
      </c>
      <c r="E247" s="124" t="str">
        <f>'REV &amp; COGS'!N75</f>
        <v/>
      </c>
      <c r="F247" s="93">
        <f>'REV &amp; COGS'!P75</f>
        <v>0</v>
      </c>
      <c r="G247" s="93" t="str">
        <f>'REV &amp; COGS'!Q75</f>
        <v/>
      </c>
      <c r="H247" s="93" t="str">
        <f>'REV &amp; COGS'!R75</f>
        <v/>
      </c>
    </row>
    <row r="248" spans="1:26" ht="12.3" hidden="1">
      <c r="B248" s="18" t="str">
        <f>'REV &amp; COGS'!A76</f>
        <v/>
      </c>
      <c r="C248" s="18">
        <f>'REV &amp; COGS'!J76</f>
        <v>0</v>
      </c>
      <c r="D248" s="18">
        <f>'REV &amp; COGS'!K76</f>
        <v>0</v>
      </c>
      <c r="E248" s="124" t="str">
        <f>'REV &amp; COGS'!N76</f>
        <v/>
      </c>
      <c r="F248" s="93">
        <f>'REV &amp; COGS'!P76</f>
        <v>0</v>
      </c>
      <c r="G248" s="93" t="str">
        <f>'REV &amp; COGS'!Q76</f>
        <v/>
      </c>
      <c r="H248" s="93" t="str">
        <f>'REV &amp; COGS'!R76</f>
        <v/>
      </c>
    </row>
    <row r="249" spans="1:26" ht="12.3" hidden="1">
      <c r="B249" s="18" t="str">
        <f>'REV &amp; COGS'!A77</f>
        <v/>
      </c>
      <c r="C249" s="18">
        <f>'REV &amp; COGS'!J77</f>
        <v>0</v>
      </c>
      <c r="D249" s="18">
        <f>'REV &amp; COGS'!K77</f>
        <v>0</v>
      </c>
      <c r="E249" s="124" t="str">
        <f>'REV &amp; COGS'!N77</f>
        <v/>
      </c>
      <c r="F249" s="93">
        <f>'REV &amp; COGS'!P77</f>
        <v>0</v>
      </c>
      <c r="G249" s="93" t="str">
        <f>'REV &amp; COGS'!Q77</f>
        <v/>
      </c>
      <c r="H249" s="93" t="str">
        <f>'REV &amp; COGS'!R77</f>
        <v/>
      </c>
    </row>
    <row r="250" spans="1:26" ht="12.3" hidden="1">
      <c r="B250" s="18" t="str">
        <f>'REV &amp; COGS'!A78</f>
        <v/>
      </c>
      <c r="C250" s="18">
        <f>'REV &amp; COGS'!J78</f>
        <v>0</v>
      </c>
      <c r="D250" s="18">
        <f>'REV &amp; COGS'!K78</f>
        <v>0</v>
      </c>
      <c r="E250" s="124" t="str">
        <f>'REV &amp; COGS'!N78</f>
        <v/>
      </c>
      <c r="F250" s="93">
        <f>'REV &amp; COGS'!P78</f>
        <v>0</v>
      </c>
      <c r="G250" s="93" t="str">
        <f>'REV &amp; COGS'!Q78</f>
        <v/>
      </c>
      <c r="H250" s="93" t="str">
        <f>'REV &amp; COGS'!R78</f>
        <v/>
      </c>
    </row>
    <row r="251" spans="1:26" ht="12.3" hidden="1">
      <c r="B251" s="18" t="str">
        <f>'REV &amp; COGS'!A79</f>
        <v/>
      </c>
      <c r="C251" s="18">
        <f>'REV &amp; COGS'!J79</f>
        <v>0</v>
      </c>
      <c r="D251" s="18">
        <f>'REV &amp; COGS'!K79</f>
        <v>0</v>
      </c>
      <c r="E251" s="124" t="str">
        <f>'REV &amp; COGS'!N79</f>
        <v/>
      </c>
      <c r="F251" s="93">
        <f>'REV &amp; COGS'!P79</f>
        <v>0</v>
      </c>
      <c r="G251" s="93" t="str">
        <f>'REV &amp; COGS'!Q79</f>
        <v/>
      </c>
      <c r="H251" s="93" t="str">
        <f>'REV &amp; COGS'!R79</f>
        <v/>
      </c>
    </row>
    <row r="252" spans="1:26" ht="12.3" hidden="1">
      <c r="B252" s="18" t="str">
        <f>'REV &amp; COGS'!A80</f>
        <v/>
      </c>
      <c r="C252" s="18">
        <f>'REV &amp; COGS'!J80</f>
        <v>0</v>
      </c>
      <c r="D252" s="18">
        <f>'REV &amp; COGS'!K80</f>
        <v>0</v>
      </c>
      <c r="E252" s="124" t="str">
        <f>'REV &amp; COGS'!N80</f>
        <v/>
      </c>
      <c r="F252" s="93">
        <f>'REV &amp; COGS'!P80</f>
        <v>0</v>
      </c>
      <c r="G252" s="93" t="str">
        <f>'REV &amp; COGS'!Q80</f>
        <v/>
      </c>
      <c r="H252" s="93" t="str">
        <f>'REV &amp; COGS'!R80</f>
        <v/>
      </c>
    </row>
    <row r="253" spans="1:26" ht="12.3" hidden="1">
      <c r="B253" s="18" t="str">
        <f>'REV &amp; COGS'!A81</f>
        <v/>
      </c>
      <c r="C253" s="18">
        <f>'REV &amp; COGS'!J81</f>
        <v>0</v>
      </c>
      <c r="D253" s="18">
        <f>'REV &amp; COGS'!K81</f>
        <v>0</v>
      </c>
      <c r="E253" s="124" t="str">
        <f>'REV &amp; COGS'!N81</f>
        <v/>
      </c>
      <c r="F253" s="93">
        <f>'REV &amp; COGS'!P81</f>
        <v>0</v>
      </c>
      <c r="G253" s="93" t="str">
        <f>'REV &amp; COGS'!Q81</f>
        <v/>
      </c>
      <c r="H253" s="93" t="str">
        <f>'REV &amp; COGS'!R81</f>
        <v/>
      </c>
    </row>
    <row r="254" spans="1:26" ht="12.3" hidden="1">
      <c r="B254" s="18" t="str">
        <f>'REV &amp; COGS'!A82</f>
        <v/>
      </c>
      <c r="C254" s="18">
        <f>'REV &amp; COGS'!J82</f>
        <v>0</v>
      </c>
      <c r="D254" s="18">
        <f>'REV &amp; COGS'!K82</f>
        <v>0</v>
      </c>
      <c r="E254" s="124" t="str">
        <f>'REV &amp; COGS'!N82</f>
        <v/>
      </c>
      <c r="F254" s="93">
        <f>'REV &amp; COGS'!P82</f>
        <v>0</v>
      </c>
      <c r="G254" s="93" t="str">
        <f>'REV &amp; COGS'!Q82</f>
        <v/>
      </c>
      <c r="H254" s="93" t="str">
        <f>'REV &amp; COGS'!R82</f>
        <v/>
      </c>
    </row>
    <row r="255" spans="1:26" ht="12.3" hidden="1">
      <c r="B255" s="18" t="str">
        <f>'REV &amp; COGS'!A83</f>
        <v/>
      </c>
      <c r="C255" s="18">
        <f>'REV &amp; COGS'!J83</f>
        <v>0</v>
      </c>
      <c r="D255" s="18">
        <f>'REV &amp; COGS'!K83</f>
        <v>0</v>
      </c>
      <c r="E255" s="124" t="str">
        <f>'REV &amp; COGS'!N83</f>
        <v/>
      </c>
      <c r="F255" s="93">
        <f>'REV &amp; COGS'!P83</f>
        <v>0</v>
      </c>
      <c r="G255" s="93" t="str">
        <f>'REV &amp; COGS'!Q83</f>
        <v/>
      </c>
      <c r="H255" s="93" t="str">
        <f>'REV &amp; COGS'!R83</f>
        <v/>
      </c>
    </row>
    <row r="256" spans="1:26" ht="12.3" hidden="1">
      <c r="B256" s="18" t="str">
        <f>'REV &amp; COGS'!A84</f>
        <v/>
      </c>
      <c r="C256" s="18">
        <f>'REV &amp; COGS'!J84</f>
        <v>0</v>
      </c>
      <c r="D256" s="18">
        <f>'REV &amp; COGS'!K84</f>
        <v>0</v>
      </c>
      <c r="E256" s="124" t="str">
        <f>'REV &amp; COGS'!N84</f>
        <v/>
      </c>
      <c r="F256" s="93">
        <f>'REV &amp; COGS'!P84</f>
        <v>0</v>
      </c>
      <c r="G256" s="93" t="str">
        <f>'REV &amp; COGS'!Q84</f>
        <v/>
      </c>
      <c r="H256" s="93" t="str">
        <f>'REV &amp; COGS'!R84</f>
        <v/>
      </c>
    </row>
    <row r="257" spans="1:26" ht="12.3" hidden="1">
      <c r="B257" s="18" t="str">
        <f>'REV &amp; COGS'!A85</f>
        <v/>
      </c>
      <c r="C257" s="18">
        <f>'REV &amp; COGS'!J85</f>
        <v>0</v>
      </c>
      <c r="D257" s="18">
        <f>'REV &amp; COGS'!K85</f>
        <v>0</v>
      </c>
      <c r="E257" s="124" t="str">
        <f>'REV &amp; COGS'!N85</f>
        <v/>
      </c>
      <c r="F257" s="93">
        <f>'REV &amp; COGS'!P85</f>
        <v>0</v>
      </c>
      <c r="G257" s="93" t="str">
        <f>'REV &amp; COGS'!Q85</f>
        <v/>
      </c>
      <c r="H257" s="93" t="str">
        <f>'REV &amp; COGS'!R85</f>
        <v/>
      </c>
    </row>
    <row r="258" spans="1:26" ht="12.3" hidden="1">
      <c r="B258" s="18" t="str">
        <f>'REV &amp; COGS'!A86</f>
        <v/>
      </c>
      <c r="C258" s="18">
        <f>'REV &amp; COGS'!J86</f>
        <v>0</v>
      </c>
      <c r="D258" s="18">
        <f>'REV &amp; COGS'!K86</f>
        <v>0</v>
      </c>
      <c r="E258" s="124" t="str">
        <f>'REV &amp; COGS'!N86</f>
        <v/>
      </c>
      <c r="F258" s="93">
        <f>'REV &amp; COGS'!P86</f>
        <v>0</v>
      </c>
      <c r="G258" s="93" t="str">
        <f>'REV &amp; COGS'!Q86</f>
        <v/>
      </c>
      <c r="H258" s="93" t="str">
        <f>'REV &amp; COGS'!R86</f>
        <v/>
      </c>
    </row>
    <row r="259" spans="1:26" ht="12.3">
      <c r="B259" s="68" t="str">
        <f>'REV &amp; COGS'!A69</f>
        <v>Totals</v>
      </c>
      <c r="C259" s="94">
        <f>'REV &amp; COGS'!J87</f>
        <v>0</v>
      </c>
      <c r="D259" s="94">
        <f>'REV &amp; COGS'!K87</f>
        <v>0</v>
      </c>
      <c r="E259" s="102">
        <f>'REV &amp; COGS'!N87</f>
        <v>0</v>
      </c>
      <c r="F259" s="95">
        <f>'REV &amp; COGS'!P87</f>
        <v>0</v>
      </c>
      <c r="G259" s="125">
        <f>'REV &amp; COGS'!Q87</f>
        <v>0</v>
      </c>
      <c r="H259" s="125">
        <f>'REV &amp; COGS'!R87</f>
        <v>0</v>
      </c>
    </row>
    <row r="260" spans="1:26" ht="12.3">
      <c r="B260">
        <f>'REV &amp; COGS'!A70</f>
        <v>0</v>
      </c>
    </row>
    <row r="261" spans="1:26" ht="12.3">
      <c r="B261" s="13" t="s">
        <v>676</v>
      </c>
    </row>
    <row r="262" spans="1:26" ht="36.9">
      <c r="A262" s="45"/>
      <c r="B262" s="87" t="str">
        <f>'REV &amp; COGS'!A72</f>
        <v>Crops</v>
      </c>
      <c r="C262" s="88" t="str">
        <f>'REV &amp; COGS'!B72</f>
        <v>Seed cost per plant</v>
      </c>
      <c r="D262" s="88" t="str">
        <f>'REV &amp; COGS'!C72</f>
        <v>Cost per starter plug</v>
      </c>
      <c r="E262" s="88" t="str">
        <f>'REV &amp; COGS'!D72</f>
        <v>Seeding Cost per plant</v>
      </c>
      <c r="F262" s="88" t="str">
        <f>'REV &amp; COGS'!E72</f>
        <v>Total sewn plants</v>
      </c>
      <c r="G262" s="88" t="str">
        <f>'REV &amp; COGS'!F72</f>
        <v>Total cost plants</v>
      </c>
      <c r="H262" s="88" t="str">
        <f>'REV &amp; COGS'!G72</f>
        <v>Loss rate</v>
      </c>
      <c r="I262" s="88" t="str">
        <f>'REV &amp; COGS'!H72</f>
        <v>Number of plants</v>
      </c>
      <c r="J262" s="45"/>
      <c r="K262" s="45"/>
      <c r="L262" s="45"/>
      <c r="M262" s="45"/>
      <c r="N262" s="45"/>
      <c r="O262" s="45"/>
      <c r="P262" s="45"/>
      <c r="Q262" s="45"/>
      <c r="R262" s="45"/>
      <c r="S262" s="45"/>
      <c r="T262" s="45"/>
      <c r="U262" s="45"/>
      <c r="V262" s="45"/>
      <c r="W262" s="45"/>
      <c r="X262" s="45"/>
      <c r="Y262" s="45"/>
      <c r="Z262" s="45"/>
    </row>
    <row r="263" spans="1:26" ht="12.3">
      <c r="B263" s="10" t="str">
        <f>'REV &amp; COGS'!A73</f>
        <v/>
      </c>
      <c r="C263" s="44">
        <f>'REV &amp; COGS'!B73</f>
        <v>0</v>
      </c>
      <c r="D263" s="44">
        <f>'REV &amp; COGS'!C73</f>
        <v>0</v>
      </c>
      <c r="E263" s="44" t="str">
        <f>'REV &amp; COGS'!D73</f>
        <v/>
      </c>
      <c r="F263" s="42" t="str">
        <f>'REV &amp; COGS'!E73</f>
        <v/>
      </c>
      <c r="G263" s="11" t="str">
        <f>'REV &amp; COGS'!F73</f>
        <v/>
      </c>
      <c r="H263" s="47" t="str">
        <f>'REV &amp; COGS'!G73</f>
        <v/>
      </c>
      <c r="I263" s="42" t="str">
        <f>'REV &amp; COGS'!H73</f>
        <v/>
      </c>
    </row>
    <row r="264" spans="1:26" ht="12.3">
      <c r="B264" s="10" t="str">
        <f>'REV &amp; COGS'!A74</f>
        <v/>
      </c>
      <c r="C264" s="20">
        <f>'REV &amp; COGS'!B74</f>
        <v>0</v>
      </c>
      <c r="D264" s="20">
        <f>'REV &amp; COGS'!C74</f>
        <v>0</v>
      </c>
      <c r="E264" s="20" t="str">
        <f>'REV &amp; COGS'!D74</f>
        <v/>
      </c>
      <c r="F264" s="42" t="str">
        <f>'REV &amp; COGS'!E74</f>
        <v/>
      </c>
      <c r="G264" s="11" t="str">
        <f>'REV &amp; COGS'!F74</f>
        <v/>
      </c>
      <c r="H264" s="47" t="str">
        <f>'REV &amp; COGS'!G74</f>
        <v/>
      </c>
      <c r="I264" s="42" t="str">
        <f>'REV &amp; COGS'!H74</f>
        <v/>
      </c>
    </row>
    <row r="265" spans="1:26" ht="12.3" hidden="1">
      <c r="B265" s="10" t="str">
        <f>'REV &amp; COGS'!A75</f>
        <v/>
      </c>
      <c r="C265" s="20">
        <f>'REV &amp; COGS'!B75</f>
        <v>0</v>
      </c>
      <c r="D265" s="20">
        <f>'REV &amp; COGS'!C75</f>
        <v>0</v>
      </c>
      <c r="E265" s="20" t="str">
        <f>'REV &amp; COGS'!D75</f>
        <v/>
      </c>
      <c r="F265" s="42" t="str">
        <f>'REV &amp; COGS'!E75</f>
        <v/>
      </c>
      <c r="G265" s="20" t="str">
        <f>'REV &amp; COGS'!F75</f>
        <v/>
      </c>
      <c r="H265" s="47" t="str">
        <f>'REV &amp; COGS'!G75</f>
        <v/>
      </c>
      <c r="I265" s="42" t="str">
        <f>'REV &amp; COGS'!H75</f>
        <v/>
      </c>
    </row>
    <row r="266" spans="1:26" ht="12.3" hidden="1">
      <c r="B266" s="10" t="str">
        <f>'REV &amp; COGS'!A76</f>
        <v/>
      </c>
      <c r="C266" s="20">
        <f>'REV &amp; COGS'!B76</f>
        <v>0</v>
      </c>
      <c r="D266" s="20">
        <f>'REV &amp; COGS'!C76</f>
        <v>0</v>
      </c>
      <c r="E266" s="20" t="str">
        <f>'REV &amp; COGS'!D76</f>
        <v/>
      </c>
      <c r="F266" s="42" t="str">
        <f>'REV &amp; COGS'!E76</f>
        <v/>
      </c>
      <c r="G266" s="20" t="str">
        <f>'REV &amp; COGS'!F76</f>
        <v/>
      </c>
      <c r="H266" s="47" t="str">
        <f>'REV &amp; COGS'!G76</f>
        <v/>
      </c>
      <c r="I266" s="42" t="str">
        <f>'REV &amp; COGS'!H76</f>
        <v/>
      </c>
    </row>
    <row r="267" spans="1:26" ht="12.3" hidden="1">
      <c r="B267" s="10" t="str">
        <f>'REV &amp; COGS'!A77</f>
        <v/>
      </c>
      <c r="C267" s="20">
        <f>'REV &amp; COGS'!B77</f>
        <v>0</v>
      </c>
      <c r="D267" s="20">
        <f>'REV &amp; COGS'!C77</f>
        <v>0</v>
      </c>
      <c r="E267" s="20" t="str">
        <f>'REV &amp; COGS'!D77</f>
        <v/>
      </c>
      <c r="F267" s="42" t="str">
        <f>'REV &amp; COGS'!E77</f>
        <v/>
      </c>
      <c r="G267" s="20" t="str">
        <f>'REV &amp; COGS'!F77</f>
        <v/>
      </c>
      <c r="H267" s="47" t="str">
        <f>'REV &amp; COGS'!G77</f>
        <v/>
      </c>
      <c r="I267" s="42" t="str">
        <f>'REV &amp; COGS'!H77</f>
        <v/>
      </c>
    </row>
    <row r="268" spans="1:26" ht="12.3" hidden="1">
      <c r="B268" s="10" t="str">
        <f>'REV &amp; COGS'!A78</f>
        <v/>
      </c>
      <c r="C268" s="20">
        <f>'REV &amp; COGS'!B78</f>
        <v>0</v>
      </c>
      <c r="D268" s="20">
        <f>'REV &amp; COGS'!C78</f>
        <v>0</v>
      </c>
      <c r="E268" s="20" t="str">
        <f>'REV &amp; COGS'!D78</f>
        <v/>
      </c>
      <c r="F268" s="42" t="str">
        <f>'REV &amp; COGS'!E78</f>
        <v/>
      </c>
      <c r="G268" s="20" t="str">
        <f>'REV &amp; COGS'!F78</f>
        <v/>
      </c>
      <c r="H268" s="47" t="str">
        <f>'REV &amp; COGS'!G78</f>
        <v/>
      </c>
      <c r="I268" s="42" t="str">
        <f>'REV &amp; COGS'!H78</f>
        <v/>
      </c>
    </row>
    <row r="269" spans="1:26" ht="12.3" hidden="1">
      <c r="B269" s="10" t="str">
        <f>'REV &amp; COGS'!A79</f>
        <v/>
      </c>
      <c r="C269" s="20">
        <f>'REV &amp; COGS'!B79</f>
        <v>0</v>
      </c>
      <c r="D269" s="20">
        <f>'REV &amp; COGS'!C79</f>
        <v>0</v>
      </c>
      <c r="E269" s="20" t="str">
        <f>'REV &amp; COGS'!D79</f>
        <v/>
      </c>
      <c r="F269" s="42" t="str">
        <f>'REV &amp; COGS'!E79</f>
        <v/>
      </c>
      <c r="G269" s="20" t="str">
        <f>'REV &amp; COGS'!F79</f>
        <v/>
      </c>
      <c r="H269" s="47" t="str">
        <f>'REV &amp; COGS'!G79</f>
        <v/>
      </c>
      <c r="I269" s="42" t="str">
        <f>'REV &amp; COGS'!H79</f>
        <v/>
      </c>
    </row>
    <row r="270" spans="1:26" ht="12.3" hidden="1">
      <c r="B270" s="10" t="str">
        <f>'REV &amp; COGS'!A80</f>
        <v/>
      </c>
      <c r="C270" s="20">
        <f>'REV &amp; COGS'!B80</f>
        <v>0</v>
      </c>
      <c r="D270" s="20">
        <f>'REV &amp; COGS'!C80</f>
        <v>0</v>
      </c>
      <c r="E270" s="20" t="str">
        <f>'REV &amp; COGS'!D80</f>
        <v/>
      </c>
      <c r="F270" s="42" t="str">
        <f>'REV &amp; COGS'!E80</f>
        <v/>
      </c>
      <c r="G270" s="20" t="str">
        <f>'REV &amp; COGS'!F80</f>
        <v/>
      </c>
      <c r="H270" s="47" t="str">
        <f>'REV &amp; COGS'!G80</f>
        <v/>
      </c>
      <c r="I270" s="42" t="str">
        <f>'REV &amp; COGS'!H80</f>
        <v/>
      </c>
    </row>
    <row r="271" spans="1:26" ht="12.3" hidden="1">
      <c r="B271" s="10" t="str">
        <f>'REV &amp; COGS'!A81</f>
        <v/>
      </c>
      <c r="C271" s="20">
        <f>'REV &amp; COGS'!B81</f>
        <v>0</v>
      </c>
      <c r="D271" s="20">
        <f>'REV &amp; COGS'!C81</f>
        <v>0</v>
      </c>
      <c r="E271" s="20" t="str">
        <f>'REV &amp; COGS'!D81</f>
        <v/>
      </c>
      <c r="F271" s="42" t="str">
        <f>'REV &amp; COGS'!E81</f>
        <v/>
      </c>
      <c r="G271" s="20" t="str">
        <f>'REV &amp; COGS'!F81</f>
        <v/>
      </c>
      <c r="H271" s="47" t="str">
        <f>'REV &amp; COGS'!G81</f>
        <v/>
      </c>
      <c r="I271" s="42" t="str">
        <f>'REV &amp; COGS'!H81</f>
        <v/>
      </c>
    </row>
    <row r="272" spans="1:26" ht="12.3" hidden="1">
      <c r="B272" s="10" t="str">
        <f>'REV &amp; COGS'!A82</f>
        <v/>
      </c>
      <c r="C272" s="20">
        <f>'REV &amp; COGS'!B82</f>
        <v>0</v>
      </c>
      <c r="D272" s="20">
        <f>'REV &amp; COGS'!C82</f>
        <v>0</v>
      </c>
      <c r="E272" s="20" t="str">
        <f>'REV &amp; COGS'!D82</f>
        <v/>
      </c>
      <c r="F272" s="42" t="str">
        <f>'REV &amp; COGS'!E82</f>
        <v/>
      </c>
      <c r="G272" s="20" t="str">
        <f>'REV &amp; COGS'!F82</f>
        <v/>
      </c>
      <c r="H272" s="47" t="str">
        <f>'REV &amp; COGS'!G82</f>
        <v/>
      </c>
      <c r="I272" s="42" t="str">
        <f>'REV &amp; COGS'!H82</f>
        <v/>
      </c>
    </row>
    <row r="273" spans="1:26" ht="12.3" hidden="1">
      <c r="B273" s="10" t="str">
        <f>'REV &amp; COGS'!A83</f>
        <v/>
      </c>
      <c r="C273" s="20">
        <f>'REV &amp; COGS'!B83</f>
        <v>0</v>
      </c>
      <c r="D273" s="20">
        <f>'REV &amp; COGS'!C83</f>
        <v>0</v>
      </c>
      <c r="E273" s="20" t="str">
        <f>'REV &amp; COGS'!D83</f>
        <v/>
      </c>
      <c r="F273" s="42" t="str">
        <f>'REV &amp; COGS'!E83</f>
        <v/>
      </c>
      <c r="G273" s="20" t="str">
        <f>'REV &amp; COGS'!F83</f>
        <v/>
      </c>
      <c r="H273" s="47" t="str">
        <f>'REV &amp; COGS'!G83</f>
        <v/>
      </c>
      <c r="I273" s="42" t="str">
        <f>'REV &amp; COGS'!H83</f>
        <v/>
      </c>
    </row>
    <row r="274" spans="1:26" ht="12.3" hidden="1">
      <c r="B274" s="10" t="str">
        <f>'REV &amp; COGS'!A84</f>
        <v/>
      </c>
      <c r="C274" s="20">
        <f>'REV &amp; COGS'!B84</f>
        <v>0</v>
      </c>
      <c r="D274" s="20">
        <f>'REV &amp; COGS'!C84</f>
        <v>0</v>
      </c>
      <c r="E274" s="20" t="str">
        <f>'REV &amp; COGS'!D84</f>
        <v/>
      </c>
      <c r="F274" s="42" t="str">
        <f>'REV &amp; COGS'!E84</f>
        <v/>
      </c>
      <c r="G274" s="20" t="str">
        <f>'REV &amp; COGS'!F84</f>
        <v/>
      </c>
      <c r="H274" s="47" t="str">
        <f>'REV &amp; COGS'!G84</f>
        <v/>
      </c>
      <c r="I274" s="42" t="str">
        <f>'REV &amp; COGS'!H84</f>
        <v/>
      </c>
    </row>
    <row r="275" spans="1:26" ht="12.3" hidden="1">
      <c r="B275" s="10" t="str">
        <f>'REV &amp; COGS'!A85</f>
        <v/>
      </c>
      <c r="C275" s="20">
        <f>'REV &amp; COGS'!B85</f>
        <v>0</v>
      </c>
      <c r="D275" s="20">
        <f>'REV &amp; COGS'!C85</f>
        <v>0</v>
      </c>
      <c r="E275" s="20" t="str">
        <f>'REV &amp; COGS'!D85</f>
        <v/>
      </c>
      <c r="F275" s="42" t="str">
        <f>'REV &amp; COGS'!E85</f>
        <v/>
      </c>
      <c r="G275" s="20" t="str">
        <f>'REV &amp; COGS'!F85</f>
        <v/>
      </c>
      <c r="H275" s="47" t="str">
        <f>'REV &amp; COGS'!G85</f>
        <v/>
      </c>
      <c r="I275" s="42" t="str">
        <f>'REV &amp; COGS'!H85</f>
        <v/>
      </c>
    </row>
    <row r="276" spans="1:26" ht="12.3" hidden="1">
      <c r="B276" s="10" t="str">
        <f>'REV &amp; COGS'!A86</f>
        <v/>
      </c>
      <c r="C276" s="20">
        <f>'REV &amp; COGS'!B86</f>
        <v>0</v>
      </c>
      <c r="D276" s="20">
        <f>'REV &amp; COGS'!C86</f>
        <v>0</v>
      </c>
      <c r="E276" s="20" t="str">
        <f>'REV &amp; COGS'!D86</f>
        <v/>
      </c>
      <c r="F276" s="42" t="str">
        <f>'REV &amp; COGS'!E86</f>
        <v/>
      </c>
      <c r="G276" s="20" t="str">
        <f>'REV &amp; COGS'!F86</f>
        <v/>
      </c>
      <c r="H276" s="47" t="str">
        <f>'REV &amp; COGS'!G86</f>
        <v/>
      </c>
      <c r="I276" s="42" t="str">
        <f>'REV &amp; COGS'!H86</f>
        <v/>
      </c>
    </row>
    <row r="277" spans="1:26" ht="12.3">
      <c r="B277" s="68" t="str">
        <f>'REV &amp; COGS'!A69</f>
        <v>Totals</v>
      </c>
      <c r="C277" s="95">
        <f>'REV &amp; COGS'!B69</f>
        <v>0</v>
      </c>
      <c r="D277" s="95">
        <f>'REV &amp; COGS'!C69</f>
        <v>0</v>
      </c>
      <c r="E277" s="95">
        <f>'REV &amp; COGS'!D69</f>
        <v>0</v>
      </c>
      <c r="F277" s="38">
        <f>'REV &amp; COGS'!E87</f>
        <v>0</v>
      </c>
      <c r="G277" s="126">
        <f>'REV &amp; COGS'!F87</f>
        <v>0</v>
      </c>
      <c r="H277" s="70">
        <f>'REV &amp; COGS'!G87</f>
        <v>0</v>
      </c>
      <c r="I277" s="38">
        <f>'REV &amp; COGS'!H87</f>
        <v>0</v>
      </c>
    </row>
    <row r="278" spans="1:26" ht="12.3">
      <c r="B278">
        <f>'REV &amp; COGS'!A70</f>
        <v>0</v>
      </c>
    </row>
    <row r="279" spans="1:26" ht="12.3">
      <c r="B279" s="13" t="s">
        <v>677</v>
      </c>
    </row>
    <row r="280" spans="1:26" ht="36.9">
      <c r="A280" s="45"/>
      <c r="B280" s="87" t="str">
        <f>'REV &amp; COGS'!A72</f>
        <v>Crops</v>
      </c>
      <c r="C280" s="87" t="str">
        <f>'REV &amp; COGS'!J72</f>
        <v>Product Sold by</v>
      </c>
      <c r="D280" s="87" t="str">
        <f>'REV &amp; COGS'!K72</f>
        <v>Packaging Type</v>
      </c>
      <c r="E280" s="88" t="str">
        <f>'REV &amp; COGS'!L72</f>
        <v>Packaging Cost per unit</v>
      </c>
      <c r="F280" s="88" t="str">
        <f>'REV &amp; COGS'!M72</f>
        <v>Variable cost per unit</v>
      </c>
      <c r="G280" s="88" t="str">
        <f>'REV &amp; COGS'!N72</f>
        <v>Units Sold</v>
      </c>
      <c r="H280" s="88" t="str">
        <f>'REV &amp; COGS'!O72</f>
        <v>Total packaging cost</v>
      </c>
      <c r="I280" s="45"/>
      <c r="J280" s="45"/>
      <c r="K280" s="45"/>
      <c r="L280" s="45"/>
      <c r="M280" s="45"/>
      <c r="N280" s="45"/>
      <c r="O280" s="45"/>
      <c r="P280" s="45"/>
      <c r="Q280" s="45"/>
      <c r="R280" s="45"/>
      <c r="S280" s="45"/>
      <c r="T280" s="45"/>
      <c r="U280" s="45"/>
      <c r="V280" s="45"/>
      <c r="W280" s="45"/>
      <c r="X280" s="45"/>
      <c r="Y280" s="45"/>
      <c r="Z280" s="45"/>
    </row>
    <row r="281" spans="1:26" ht="12.3">
      <c r="B281" s="10" t="str">
        <f>'REV &amp; COGS'!A73</f>
        <v/>
      </c>
      <c r="C281" s="122">
        <f>'REV &amp; COGS'!J73</f>
        <v>0</v>
      </c>
      <c r="D281" s="98">
        <f>'REV &amp; COGS'!K73</f>
        <v>0</v>
      </c>
      <c r="E281" s="99" t="str">
        <f>'REV &amp; COGS'!L73</f>
        <v/>
      </c>
      <c r="F281" s="99" t="str">
        <f>'REV &amp; COGS'!M73</f>
        <v/>
      </c>
      <c r="G281" s="100" t="str">
        <f>'REV &amp; COGS'!N73</f>
        <v/>
      </c>
      <c r="H281" s="101" t="str">
        <f>'REV &amp; COGS'!O73</f>
        <v/>
      </c>
    </row>
    <row r="282" spans="1:26" ht="12.3">
      <c r="B282" s="10" t="str">
        <f>'REV &amp; COGS'!A74</f>
        <v/>
      </c>
      <c r="C282" s="122">
        <f>'REV &amp; COGS'!J74</f>
        <v>0</v>
      </c>
      <c r="D282" s="98">
        <f>'REV &amp; COGS'!K74</f>
        <v>0</v>
      </c>
      <c r="E282" s="99" t="str">
        <f>'REV &amp; COGS'!L74</f>
        <v/>
      </c>
      <c r="F282" s="99" t="str">
        <f>'REV &amp; COGS'!M74</f>
        <v/>
      </c>
      <c r="G282" s="100" t="str">
        <f>'REV &amp; COGS'!N74</f>
        <v/>
      </c>
      <c r="H282" s="101" t="str">
        <f>'REV &amp; COGS'!O74</f>
        <v/>
      </c>
    </row>
    <row r="283" spans="1:26" ht="12.3" hidden="1">
      <c r="B283" s="10" t="str">
        <f>'REV &amp; COGS'!A75</f>
        <v/>
      </c>
      <c r="C283" s="98">
        <f>'REV &amp; COGS'!J75</f>
        <v>0</v>
      </c>
      <c r="D283" s="98">
        <f>'REV &amp; COGS'!K75</f>
        <v>0</v>
      </c>
      <c r="E283" s="99" t="str">
        <f>'REV &amp; COGS'!L75</f>
        <v/>
      </c>
      <c r="F283" s="99" t="str">
        <f>'REV &amp; COGS'!M75</f>
        <v/>
      </c>
      <c r="G283" s="100" t="str">
        <f>'REV &amp; COGS'!N75</f>
        <v/>
      </c>
      <c r="H283" s="101" t="str">
        <f>'REV &amp; COGS'!O75</f>
        <v/>
      </c>
    </row>
    <row r="284" spans="1:26" ht="12.3" hidden="1">
      <c r="B284" s="10" t="str">
        <f>'REV &amp; COGS'!A76</f>
        <v/>
      </c>
      <c r="C284" s="98">
        <f>'REV &amp; COGS'!J76</f>
        <v>0</v>
      </c>
      <c r="D284" s="98">
        <f>'REV &amp; COGS'!K76</f>
        <v>0</v>
      </c>
      <c r="E284" s="99" t="str">
        <f>'REV &amp; COGS'!L76</f>
        <v/>
      </c>
      <c r="F284" s="99" t="str">
        <f>'REV &amp; COGS'!M76</f>
        <v/>
      </c>
      <c r="G284" s="100" t="str">
        <f>'REV &amp; COGS'!N76</f>
        <v/>
      </c>
      <c r="H284" s="101" t="str">
        <f>'REV &amp; COGS'!O76</f>
        <v/>
      </c>
    </row>
    <row r="285" spans="1:26" ht="12.3" hidden="1">
      <c r="B285" s="10" t="str">
        <f>'REV &amp; COGS'!A77</f>
        <v/>
      </c>
      <c r="C285" s="98">
        <f>'REV &amp; COGS'!J77</f>
        <v>0</v>
      </c>
      <c r="D285" s="98">
        <f>'REV &amp; COGS'!K77</f>
        <v>0</v>
      </c>
      <c r="E285" s="99" t="str">
        <f>'REV &amp; COGS'!L77</f>
        <v/>
      </c>
      <c r="F285" s="99" t="str">
        <f>'REV &amp; COGS'!M77</f>
        <v/>
      </c>
      <c r="G285" s="100" t="str">
        <f>'REV &amp; COGS'!N77</f>
        <v/>
      </c>
      <c r="H285" s="101" t="str">
        <f>'REV &amp; COGS'!O77</f>
        <v/>
      </c>
    </row>
    <row r="286" spans="1:26" ht="12.3" hidden="1">
      <c r="B286" s="10" t="str">
        <f>'REV &amp; COGS'!A78</f>
        <v/>
      </c>
      <c r="C286" s="98">
        <f>'REV &amp; COGS'!J78</f>
        <v>0</v>
      </c>
      <c r="D286" s="98">
        <f>'REV &amp; COGS'!K78</f>
        <v>0</v>
      </c>
      <c r="E286" s="99" t="str">
        <f>'REV &amp; COGS'!L78</f>
        <v/>
      </c>
      <c r="F286" s="99" t="str">
        <f>'REV &amp; COGS'!M78</f>
        <v/>
      </c>
      <c r="G286" s="100" t="str">
        <f>'REV &amp; COGS'!N78</f>
        <v/>
      </c>
      <c r="H286" s="101" t="str">
        <f>'REV &amp; COGS'!O78</f>
        <v/>
      </c>
    </row>
    <row r="287" spans="1:26" ht="12.3" hidden="1">
      <c r="B287" s="10" t="str">
        <f>'REV &amp; COGS'!A79</f>
        <v/>
      </c>
      <c r="C287" s="98">
        <f>'REV &amp; COGS'!J79</f>
        <v>0</v>
      </c>
      <c r="D287" s="98">
        <f>'REV &amp; COGS'!K79</f>
        <v>0</v>
      </c>
      <c r="E287" s="99" t="str">
        <f>'REV &amp; COGS'!L79</f>
        <v/>
      </c>
      <c r="F287" s="99" t="str">
        <f>'REV &amp; COGS'!M79</f>
        <v/>
      </c>
      <c r="G287" s="100" t="str">
        <f>'REV &amp; COGS'!N79</f>
        <v/>
      </c>
      <c r="H287" s="101" t="str">
        <f>'REV &amp; COGS'!O79</f>
        <v/>
      </c>
    </row>
    <row r="288" spans="1:26" ht="12.3" hidden="1">
      <c r="B288" s="10" t="str">
        <f>'REV &amp; COGS'!A80</f>
        <v/>
      </c>
      <c r="C288" s="98">
        <f>'REV &amp; COGS'!J80</f>
        <v>0</v>
      </c>
      <c r="D288" s="98">
        <f>'REV &amp; COGS'!K80</f>
        <v>0</v>
      </c>
      <c r="E288" s="99" t="str">
        <f>'REV &amp; COGS'!L80</f>
        <v/>
      </c>
      <c r="F288" s="99" t="str">
        <f>'REV &amp; COGS'!M80</f>
        <v/>
      </c>
      <c r="G288" s="100" t="str">
        <f>'REV &amp; COGS'!N80</f>
        <v/>
      </c>
      <c r="H288" s="101" t="str">
        <f>'REV &amp; COGS'!O80</f>
        <v/>
      </c>
    </row>
    <row r="289" spans="2:8" ht="12.3" hidden="1">
      <c r="B289" s="10" t="str">
        <f>'REV &amp; COGS'!A81</f>
        <v/>
      </c>
      <c r="C289" s="98">
        <f>'REV &amp; COGS'!J81</f>
        <v>0</v>
      </c>
      <c r="D289" s="98">
        <f>'REV &amp; COGS'!K81</f>
        <v>0</v>
      </c>
      <c r="E289" s="99" t="str">
        <f>'REV &amp; COGS'!L81</f>
        <v/>
      </c>
      <c r="F289" s="99" t="str">
        <f>'REV &amp; COGS'!M81</f>
        <v/>
      </c>
      <c r="G289" s="100" t="str">
        <f>'REV &amp; COGS'!N81</f>
        <v/>
      </c>
      <c r="H289" s="101" t="str">
        <f>'REV &amp; COGS'!O81</f>
        <v/>
      </c>
    </row>
    <row r="290" spans="2:8" ht="12.3" hidden="1">
      <c r="B290" s="10" t="str">
        <f>'REV &amp; COGS'!A82</f>
        <v/>
      </c>
      <c r="C290" s="98">
        <f>'REV &amp; COGS'!J82</f>
        <v>0</v>
      </c>
      <c r="D290" s="98">
        <f>'REV &amp; COGS'!K82</f>
        <v>0</v>
      </c>
      <c r="E290" s="99" t="str">
        <f>'REV &amp; COGS'!L82</f>
        <v/>
      </c>
      <c r="F290" s="99" t="str">
        <f>'REV &amp; COGS'!M82</f>
        <v/>
      </c>
      <c r="G290" s="100" t="str">
        <f>'REV &amp; COGS'!N82</f>
        <v/>
      </c>
      <c r="H290" s="101" t="str">
        <f>'REV &amp; COGS'!O82</f>
        <v/>
      </c>
    </row>
    <row r="291" spans="2:8" ht="12.3" hidden="1">
      <c r="B291" s="10" t="str">
        <f>'REV &amp; COGS'!A83</f>
        <v/>
      </c>
      <c r="C291" s="98">
        <f>'REV &amp; COGS'!J83</f>
        <v>0</v>
      </c>
      <c r="D291" s="98">
        <f>'REV &amp; COGS'!K83</f>
        <v>0</v>
      </c>
      <c r="E291" s="99" t="str">
        <f>'REV &amp; COGS'!L83</f>
        <v/>
      </c>
      <c r="F291" s="99" t="str">
        <f>'REV &amp; COGS'!M83</f>
        <v/>
      </c>
      <c r="G291" s="100" t="str">
        <f>'REV &amp; COGS'!N83</f>
        <v/>
      </c>
      <c r="H291" s="101" t="str">
        <f>'REV &amp; COGS'!O83</f>
        <v/>
      </c>
    </row>
    <row r="292" spans="2:8" ht="12.3" hidden="1">
      <c r="B292" s="10" t="str">
        <f>'REV &amp; COGS'!A84</f>
        <v/>
      </c>
      <c r="C292" s="98">
        <f>'REV &amp; COGS'!J84</f>
        <v>0</v>
      </c>
      <c r="D292" s="98">
        <f>'REV &amp; COGS'!K84</f>
        <v>0</v>
      </c>
      <c r="E292" s="99" t="str">
        <f>'REV &amp; COGS'!L84</f>
        <v/>
      </c>
      <c r="F292" s="99" t="str">
        <f>'REV &amp; COGS'!M84</f>
        <v/>
      </c>
      <c r="G292" s="100" t="str">
        <f>'REV &amp; COGS'!N84</f>
        <v/>
      </c>
      <c r="H292" s="101" t="str">
        <f>'REV &amp; COGS'!O84</f>
        <v/>
      </c>
    </row>
    <row r="293" spans="2:8" ht="12.3" hidden="1">
      <c r="B293" s="10" t="str">
        <f>'REV &amp; COGS'!A85</f>
        <v/>
      </c>
      <c r="C293" s="98">
        <f>'REV &amp; COGS'!J85</f>
        <v>0</v>
      </c>
      <c r="D293" s="98">
        <f>'REV &amp; COGS'!K85</f>
        <v>0</v>
      </c>
      <c r="E293" s="99" t="str">
        <f>'REV &amp; COGS'!L85</f>
        <v/>
      </c>
      <c r="F293" s="99" t="str">
        <f>'REV &amp; COGS'!M85</f>
        <v/>
      </c>
      <c r="G293" s="100" t="str">
        <f>'REV &amp; COGS'!N85</f>
        <v/>
      </c>
      <c r="H293" s="101" t="str">
        <f>'REV &amp; COGS'!O85</f>
        <v/>
      </c>
    </row>
    <row r="294" spans="2:8" ht="12.3" hidden="1">
      <c r="B294" s="10" t="str">
        <f>'REV &amp; COGS'!A86</f>
        <v/>
      </c>
      <c r="C294" s="98">
        <f>'REV &amp; COGS'!J86</f>
        <v>0</v>
      </c>
      <c r="D294" s="98">
        <f>'REV &amp; COGS'!K86</f>
        <v>0</v>
      </c>
      <c r="E294" s="99" t="str">
        <f>'REV &amp; COGS'!L86</f>
        <v/>
      </c>
      <c r="F294" s="99" t="str">
        <f>'REV &amp; COGS'!M86</f>
        <v/>
      </c>
      <c r="G294" s="100" t="str">
        <f>'REV &amp; COGS'!N86</f>
        <v/>
      </c>
      <c r="H294" s="101" t="str">
        <f>'REV &amp; COGS'!O86</f>
        <v/>
      </c>
    </row>
    <row r="295" spans="2:8" ht="12.3">
      <c r="B295" s="68" t="str">
        <f>'REV &amp; COGS'!A87</f>
        <v>Totals</v>
      </c>
      <c r="C295" s="94">
        <f>'REV &amp; COGS'!J87</f>
        <v>0</v>
      </c>
      <c r="D295" s="94">
        <f>'REV &amp; COGS'!K87</f>
        <v>0</v>
      </c>
      <c r="E295" s="95">
        <f>'REV &amp; COGS'!L87</f>
        <v>0</v>
      </c>
      <c r="F295" s="95">
        <f>'REV &amp; COGS'!M87</f>
        <v>0</v>
      </c>
      <c r="G295" s="102">
        <f>'REV &amp; COGS'!N87</f>
        <v>0</v>
      </c>
      <c r="H295" s="103">
        <f>'REV &amp; COGS'!O87</f>
        <v>0</v>
      </c>
    </row>
    <row r="296" spans="2:8" ht="12.3">
      <c r="B296">
        <f>'REV &amp; COGS'!A88</f>
        <v>0</v>
      </c>
    </row>
    <row r="297" spans="2:8" ht="12.3">
      <c r="B297">
        <f>'REV &amp; COGS'!A89</f>
        <v>0</v>
      </c>
    </row>
    <row r="299" spans="2:8" ht="12.3">
      <c r="B299" s="127" t="str">
        <f>'Plant &amp; Fish Production'!B31</f>
        <v>Seedling Trays</v>
      </c>
      <c r="C299" s="115">
        <f>'Plant &amp; Fish Production'!C31</f>
        <v>0</v>
      </c>
      <c r="D299" s="41"/>
      <c r="E299" s="41"/>
      <c r="F299" s="41"/>
      <c r="G299" s="41"/>
      <c r="H299" s="41"/>
    </row>
    <row r="300" spans="2:8" ht="12.3">
      <c r="B300" s="128" t="str">
        <f>'Plant &amp; Fish Production'!B32</f>
        <v>Number of plugs per tray</v>
      </c>
      <c r="C300" s="109">
        <f>'Plant &amp; Fish Production'!C32</f>
        <v>128</v>
      </c>
      <c r="D300" s="41"/>
      <c r="E300" s="41"/>
      <c r="F300" s="41"/>
      <c r="G300" s="41"/>
      <c r="H300" s="41"/>
    </row>
    <row r="301" spans="2:8" ht="12.3">
      <c r="B301" s="128" t="str">
        <f>'Plant &amp; Fish Production'!B33</f>
        <v>Weekly transplants</v>
      </c>
      <c r="C301" s="109">
        <f>'Plant &amp; Fish Production'!C33</f>
        <v>1120</v>
      </c>
      <c r="D301" s="41"/>
      <c r="E301" s="41"/>
      <c r="F301" s="41"/>
      <c r="G301" s="41"/>
      <c r="H301" s="41"/>
    </row>
    <row r="302" spans="2:8" ht="12.3">
      <c r="B302" s="128" t="str">
        <f>'Plant &amp; Fish Production'!B34</f>
        <v>Weekly trays</v>
      </c>
      <c r="C302" s="108">
        <f>'Plant &amp; Fish Production'!C34</f>
        <v>8.75</v>
      </c>
      <c r="D302" s="41"/>
      <c r="E302" s="41"/>
      <c r="F302" s="41"/>
      <c r="G302" s="41"/>
      <c r="H302" s="41"/>
    </row>
    <row r="303" spans="2:8" ht="12.3">
      <c r="B303" s="128" t="str">
        <f>'Plant &amp; Fish Production'!B35</f>
        <v>Flat loss rate/overseed</v>
      </c>
      <c r="C303" s="129">
        <f>'Plant &amp; Fish Production'!C35</f>
        <v>0</v>
      </c>
      <c r="D303" s="41"/>
      <c r="E303" s="41"/>
      <c r="F303" s="41"/>
      <c r="G303" s="41"/>
      <c r="H303" s="41"/>
    </row>
    <row r="304" spans="2:8" ht="12.3">
      <c r="B304" s="128" t="str">
        <f>'Plant &amp; Fish Production'!B36</f>
        <v>Weekly nursery trays to seed</v>
      </c>
      <c r="C304" s="108">
        <f>'Plant &amp; Fish Production'!C36</f>
        <v>8.75</v>
      </c>
      <c r="D304" s="41"/>
      <c r="E304" s="41"/>
      <c r="F304" s="41"/>
      <c r="G304" s="41"/>
      <c r="H304" s="41"/>
    </row>
    <row r="305" spans="2:8" ht="12.3">
      <c r="B305" s="128" t="str">
        <f>'Plant &amp; Fish Production'!B37</f>
        <v>Weeks in nursery</v>
      </c>
      <c r="C305" s="108">
        <f>'Plant &amp; Fish Production'!C37</f>
        <v>0</v>
      </c>
      <c r="D305" s="41"/>
      <c r="E305" s="41"/>
      <c r="F305" s="41"/>
      <c r="G305" s="41"/>
      <c r="H305" s="41"/>
    </row>
    <row r="306" spans="2:8" ht="12.3">
      <c r="B306" s="130" t="str">
        <f>'Plant &amp; Fish Production'!B38</f>
        <v>Total Seedling Trays (rounded up)</v>
      </c>
      <c r="C306" s="38">
        <f>'Plant &amp; Fish Production'!C38</f>
        <v>0</v>
      </c>
      <c r="D306" s="41"/>
      <c r="E306" s="41"/>
      <c r="F306" s="41"/>
      <c r="G306" s="41"/>
      <c r="H306" s="41"/>
    </row>
    <row r="307" spans="2:8" ht="12.3">
      <c r="B307" s="130" t="str">
        <f>'Plant &amp; Fish Production'!B39</f>
        <v>Annual Trays</v>
      </c>
      <c r="C307" s="85">
        <f>'Plant &amp; Fish Production'!C39</f>
        <v>455</v>
      </c>
      <c r="D307" s="41"/>
      <c r="E307" s="41"/>
      <c r="F307" s="41"/>
      <c r="G307" s="41"/>
      <c r="H307" s="41"/>
    </row>
    <row r="308" spans="2:8" ht="12.3">
      <c r="B308" s="41" t="e">
        <f>'Plant &amp; Fish Production'!#REF!</f>
        <v>#REF!</v>
      </c>
      <c r="C308" s="41" t="e">
        <f>'Plant &amp; Fish Production'!#REF!</f>
        <v>#REF!</v>
      </c>
      <c r="D308" s="41"/>
      <c r="E308" s="41"/>
      <c r="F308" s="41"/>
      <c r="G308" s="41"/>
      <c r="H308" s="41"/>
    </row>
    <row r="309" spans="2:8" ht="36.9">
      <c r="B309" s="131" t="str">
        <f>'Plant &amp; Fish Production'!F81</f>
        <v>Microgreen Varieties</v>
      </c>
      <c r="C309" s="75" t="str">
        <f>'Plant &amp; Fish Production'!G81</f>
        <v># of Flats</v>
      </c>
      <c r="D309" s="75" t="str">
        <f>'Plant &amp; Fish Production'!H81</f>
        <v>Culture period (wks)</v>
      </c>
      <c r="E309" s="75" t="str">
        <f>'Plant &amp; Fish Production'!I81</f>
        <v>Annual Harvests</v>
      </c>
      <c r="F309" s="76" t="str">
        <f>'Plant &amp; Fish Production'!J81</f>
        <v>Total Flats</v>
      </c>
      <c r="G309" s="75" t="str">
        <f>'Plant &amp; Fish Production'!K81</f>
        <v>Price per flat</v>
      </c>
      <c r="H309" s="75" t="str">
        <f>'Plant &amp; Fish Production'!L81</f>
        <v>Annual Revenue</v>
      </c>
    </row>
    <row r="310" spans="2:8" ht="12.3">
      <c r="B310" s="43" t="str">
        <f>'Plant &amp; Fish Production'!F82</f>
        <v>pea shoots</v>
      </c>
      <c r="C310" s="19">
        <f>'Plant &amp; Fish Production'!G82</f>
        <v>6</v>
      </c>
      <c r="D310" s="19">
        <f>'Plant &amp; Fish Production'!H82</f>
        <v>2</v>
      </c>
      <c r="E310" s="19">
        <f>'Plant &amp; Fish Production'!I82</f>
        <v>26</v>
      </c>
      <c r="F310" s="42">
        <f>'Plant &amp; Fish Production'!J82</f>
        <v>156</v>
      </c>
      <c r="G310" s="11">
        <f>'Plant &amp; Fish Production'!K82</f>
        <v>25</v>
      </c>
      <c r="H310" s="11">
        <f>'Plant &amp; Fish Production'!L82</f>
        <v>3900</v>
      </c>
    </row>
    <row r="311" spans="2:8" ht="12.3">
      <c r="B311" s="43">
        <f>'Plant &amp; Fish Production'!F83</f>
        <v>0</v>
      </c>
      <c r="C311" s="19">
        <f>'Plant &amp; Fish Production'!G83</f>
        <v>0</v>
      </c>
      <c r="D311" s="19">
        <f>'Plant &amp; Fish Production'!H83</f>
        <v>0</v>
      </c>
      <c r="E311" s="19" t="str">
        <f>'Plant &amp; Fish Production'!I83</f>
        <v/>
      </c>
      <c r="F311" s="42" t="str">
        <f>'Plant &amp; Fish Production'!J83</f>
        <v/>
      </c>
      <c r="G311" s="11">
        <f>'Plant &amp; Fish Production'!K83</f>
        <v>0</v>
      </c>
      <c r="H311" s="11" t="str">
        <f>'Plant &amp; Fish Production'!L83</f>
        <v/>
      </c>
    </row>
    <row r="312" spans="2:8" ht="12.3">
      <c r="B312" s="43">
        <f>'Plant &amp; Fish Production'!F84</f>
        <v>0</v>
      </c>
      <c r="C312" s="19">
        <f>'Plant &amp; Fish Production'!G84</f>
        <v>0</v>
      </c>
      <c r="D312" s="19">
        <f>'Plant &amp; Fish Production'!H84</f>
        <v>0</v>
      </c>
      <c r="E312" s="19" t="str">
        <f>'Plant &amp; Fish Production'!I84</f>
        <v/>
      </c>
      <c r="F312" s="42" t="str">
        <f>'Plant &amp; Fish Production'!J84</f>
        <v/>
      </c>
      <c r="G312" s="11">
        <f>'Plant &amp; Fish Production'!K84</f>
        <v>0</v>
      </c>
      <c r="H312" s="11" t="str">
        <f>'Plant &amp; Fish Production'!L84</f>
        <v/>
      </c>
    </row>
    <row r="313" spans="2:8" ht="12.3">
      <c r="B313" s="43">
        <f>'Plant &amp; Fish Production'!F85</f>
        <v>0</v>
      </c>
      <c r="C313" s="19">
        <f>'Plant &amp; Fish Production'!G85</f>
        <v>0</v>
      </c>
      <c r="D313" s="19">
        <f>'Plant &amp; Fish Production'!H85</f>
        <v>0</v>
      </c>
      <c r="E313" s="19" t="str">
        <f>'Plant &amp; Fish Production'!I85</f>
        <v/>
      </c>
      <c r="F313" s="42" t="str">
        <f>'Plant &amp; Fish Production'!J85</f>
        <v/>
      </c>
      <c r="G313" s="11">
        <f>'Plant &amp; Fish Production'!K85</f>
        <v>0</v>
      </c>
      <c r="H313" s="11" t="str">
        <f>'Plant &amp; Fish Production'!L85</f>
        <v/>
      </c>
    </row>
    <row r="314" spans="2:8" ht="12.3" hidden="1">
      <c r="B314" s="43">
        <f>'Plant &amp; Fish Production'!F86</f>
        <v>0</v>
      </c>
      <c r="C314" s="19">
        <f>'Plant &amp; Fish Production'!G86</f>
        <v>0</v>
      </c>
      <c r="D314" s="19">
        <f>'Plant &amp; Fish Production'!H86</f>
        <v>0</v>
      </c>
      <c r="E314" s="19" t="str">
        <f>'Plant &amp; Fish Production'!I86</f>
        <v/>
      </c>
      <c r="F314" s="42" t="str">
        <f>'Plant &amp; Fish Production'!J86</f>
        <v/>
      </c>
      <c r="G314" s="132">
        <f>'Plant &amp; Fish Production'!K86</f>
        <v>0</v>
      </c>
      <c r="H314" s="42" t="str">
        <f>'Plant &amp; Fish Production'!L86</f>
        <v/>
      </c>
    </row>
    <row r="315" spans="2:8" ht="12.3" hidden="1">
      <c r="B315" s="43">
        <f>'Plant &amp; Fish Production'!F87</f>
        <v>0</v>
      </c>
      <c r="C315" s="19">
        <f>'Plant &amp; Fish Production'!G87</f>
        <v>0</v>
      </c>
      <c r="D315" s="19">
        <f>'Plant &amp; Fish Production'!H87</f>
        <v>0</v>
      </c>
      <c r="E315" s="19" t="str">
        <f>'Plant &amp; Fish Production'!I87</f>
        <v/>
      </c>
      <c r="F315" s="42" t="str">
        <f>'Plant &amp; Fish Production'!J87</f>
        <v/>
      </c>
      <c r="G315" s="132">
        <f>'Plant &amp; Fish Production'!K87</f>
        <v>0</v>
      </c>
      <c r="H315" s="42" t="str">
        <f>'Plant &amp; Fish Production'!L87</f>
        <v/>
      </c>
    </row>
    <row r="316" spans="2:8" ht="12.3" hidden="1">
      <c r="B316" s="43">
        <f>'Plant &amp; Fish Production'!F88</f>
        <v>0</v>
      </c>
      <c r="C316" s="19">
        <f>'Plant &amp; Fish Production'!G88</f>
        <v>0</v>
      </c>
      <c r="D316" s="19">
        <f>'Plant &amp; Fish Production'!H88</f>
        <v>0</v>
      </c>
      <c r="E316" s="19" t="str">
        <f>'Plant &amp; Fish Production'!I88</f>
        <v/>
      </c>
      <c r="F316" s="42" t="str">
        <f>'Plant &amp; Fish Production'!J88</f>
        <v/>
      </c>
      <c r="G316" s="132">
        <f>'Plant &amp; Fish Production'!K88</f>
        <v>0</v>
      </c>
      <c r="H316" s="42" t="str">
        <f>'Plant &amp; Fish Production'!L88</f>
        <v/>
      </c>
    </row>
    <row r="317" spans="2:8" ht="12.3" hidden="1">
      <c r="B317" s="43">
        <f>'Plant &amp; Fish Production'!F89</f>
        <v>0</v>
      </c>
      <c r="C317" s="19">
        <f>'Plant &amp; Fish Production'!G89</f>
        <v>0</v>
      </c>
      <c r="D317" s="19">
        <f>'Plant &amp; Fish Production'!H89</f>
        <v>0</v>
      </c>
      <c r="E317" s="19" t="str">
        <f>'Plant &amp; Fish Production'!I89</f>
        <v/>
      </c>
      <c r="F317" s="42" t="str">
        <f>'Plant &amp; Fish Production'!J89</f>
        <v/>
      </c>
      <c r="G317" s="132">
        <f>'Plant &amp; Fish Production'!K89</f>
        <v>0</v>
      </c>
      <c r="H317" s="42" t="str">
        <f>'Plant &amp; Fish Production'!L89</f>
        <v/>
      </c>
    </row>
    <row r="318" spans="2:8" ht="12.3" hidden="1">
      <c r="B318" s="43">
        <f>'Plant &amp; Fish Production'!F90</f>
        <v>0</v>
      </c>
      <c r="C318" s="19">
        <f>'Plant &amp; Fish Production'!G90</f>
        <v>0</v>
      </c>
      <c r="D318" s="19">
        <f>'Plant &amp; Fish Production'!H90</f>
        <v>0</v>
      </c>
      <c r="E318" s="19" t="str">
        <f>'Plant &amp; Fish Production'!I90</f>
        <v/>
      </c>
      <c r="F318" s="42" t="str">
        <f>'Plant &amp; Fish Production'!J90</f>
        <v/>
      </c>
      <c r="G318" s="132">
        <f>'Plant &amp; Fish Production'!K90</f>
        <v>0</v>
      </c>
      <c r="H318" s="42" t="str">
        <f>'Plant &amp; Fish Production'!L90</f>
        <v/>
      </c>
    </row>
    <row r="319" spans="2:8" ht="12.3" hidden="1">
      <c r="B319" s="43">
        <f>'Plant &amp; Fish Production'!F91</f>
        <v>0</v>
      </c>
      <c r="C319" s="19">
        <f>'Plant &amp; Fish Production'!G91</f>
        <v>0</v>
      </c>
      <c r="D319" s="19">
        <f>'Plant &amp; Fish Production'!H91</f>
        <v>0</v>
      </c>
      <c r="E319" s="19" t="str">
        <f>'Plant &amp; Fish Production'!I91</f>
        <v/>
      </c>
      <c r="F319" s="42" t="str">
        <f>'Plant &amp; Fish Production'!J91</f>
        <v/>
      </c>
      <c r="G319" s="132">
        <f>'Plant &amp; Fish Production'!K91</f>
        <v>0</v>
      </c>
      <c r="H319" s="42" t="str">
        <f>'Plant &amp; Fish Production'!L91</f>
        <v/>
      </c>
    </row>
    <row r="320" spans="2:8" ht="12.3" hidden="1">
      <c r="B320" s="43">
        <f>'Plant &amp; Fish Production'!F92</f>
        <v>0</v>
      </c>
      <c r="C320" s="19">
        <f>'Plant &amp; Fish Production'!G92</f>
        <v>0</v>
      </c>
      <c r="D320" s="19">
        <f>'Plant &amp; Fish Production'!H92</f>
        <v>0</v>
      </c>
      <c r="E320" s="19" t="str">
        <f>'Plant &amp; Fish Production'!I92</f>
        <v/>
      </c>
      <c r="F320" s="42" t="str">
        <f>'Plant &amp; Fish Production'!J92</f>
        <v/>
      </c>
      <c r="G320" s="132">
        <f>'Plant &amp; Fish Production'!K92</f>
        <v>0</v>
      </c>
      <c r="H320" s="42" t="str">
        <f>'Plant &amp; Fish Production'!L92</f>
        <v/>
      </c>
    </row>
    <row r="321" spans="1:26" ht="12.3" hidden="1">
      <c r="B321" s="43">
        <f>'Plant &amp; Fish Production'!F93</f>
        <v>0</v>
      </c>
      <c r="C321" s="19">
        <f>'Plant &amp; Fish Production'!G93</f>
        <v>0</v>
      </c>
      <c r="D321" s="19">
        <f>'Plant &amp; Fish Production'!H93</f>
        <v>0</v>
      </c>
      <c r="E321" s="19" t="str">
        <f>'Plant &amp; Fish Production'!I93</f>
        <v/>
      </c>
      <c r="F321" s="42" t="str">
        <f>'Plant &amp; Fish Production'!J93</f>
        <v/>
      </c>
      <c r="G321" s="132">
        <f>'Plant &amp; Fish Production'!K93</f>
        <v>0</v>
      </c>
      <c r="H321" s="42" t="str">
        <f>'Plant &amp; Fish Production'!L93</f>
        <v/>
      </c>
    </row>
    <row r="322" spans="1:26" ht="12.3" hidden="1">
      <c r="B322" s="43">
        <f>'Plant &amp; Fish Production'!F94</f>
        <v>0</v>
      </c>
      <c r="C322" s="19">
        <f>'Plant &amp; Fish Production'!G94</f>
        <v>0</v>
      </c>
      <c r="D322" s="19">
        <f>'Plant &amp; Fish Production'!H94</f>
        <v>0</v>
      </c>
      <c r="E322" s="19" t="str">
        <f>'Plant &amp; Fish Production'!I94</f>
        <v/>
      </c>
      <c r="F322" s="42" t="str">
        <f>'Plant &amp; Fish Production'!J94</f>
        <v/>
      </c>
      <c r="G322" s="132">
        <f>'Plant &amp; Fish Production'!K94</f>
        <v>0</v>
      </c>
      <c r="H322" s="42" t="str">
        <f>'Plant &amp; Fish Production'!L94</f>
        <v/>
      </c>
    </row>
    <row r="323" spans="1:26" ht="12.3" hidden="1">
      <c r="B323" s="43">
        <f>'Plant &amp; Fish Production'!F95</f>
        <v>0</v>
      </c>
      <c r="C323" s="19">
        <f>'Plant &amp; Fish Production'!G95</f>
        <v>0</v>
      </c>
      <c r="D323" s="19">
        <f>'Plant &amp; Fish Production'!H95</f>
        <v>0</v>
      </c>
      <c r="E323" s="19" t="str">
        <f>'Plant &amp; Fish Production'!I95</f>
        <v/>
      </c>
      <c r="F323" s="42" t="str">
        <f>'Plant &amp; Fish Production'!J95</f>
        <v/>
      </c>
      <c r="G323" s="132">
        <f>'Plant &amp; Fish Production'!K95</f>
        <v>0</v>
      </c>
      <c r="H323" s="42" t="str">
        <f>'Plant &amp; Fish Production'!L95</f>
        <v/>
      </c>
    </row>
    <row r="324" spans="1:26" ht="12.3">
      <c r="B324" s="130" t="str">
        <f>'Plant &amp; Fish Production'!F96</f>
        <v>Totals</v>
      </c>
      <c r="C324" s="70">
        <f>'Plant &amp; Fish Production'!G96</f>
        <v>6</v>
      </c>
      <c r="D324" s="70">
        <f>'Plant &amp; Fish Production'!H96</f>
        <v>0</v>
      </c>
      <c r="E324" s="70">
        <f>'Plant &amp; Fish Production'!I96</f>
        <v>0</v>
      </c>
      <c r="F324" s="38">
        <f>'Plant &amp; Fish Production'!J96</f>
        <v>156</v>
      </c>
      <c r="G324" s="133">
        <f>'Plant &amp; Fish Production'!K96</f>
        <v>0</v>
      </c>
      <c r="H324" s="86">
        <f>'Plant &amp; Fish Production'!L96</f>
        <v>3900</v>
      </c>
    </row>
    <row r="325" spans="1:26" ht="12.3">
      <c r="B325" t="e">
        <f>'Plant &amp; Fish Production'!#REF!</f>
        <v>#REF!</v>
      </c>
      <c r="C325" t="e">
        <f>'Plant &amp; Fish Production'!#REF!</f>
        <v>#REF!</v>
      </c>
      <c r="D325" t="e">
        <f>'Plant &amp; Fish Production'!#REF!</f>
        <v>#REF!</v>
      </c>
      <c r="E325" t="e">
        <f>'Plant &amp; Fish Production'!#REF!</f>
        <v>#REF!</v>
      </c>
      <c r="F325" t="e">
        <f>'Plant &amp; Fish Production'!#REF!</f>
        <v>#REF!</v>
      </c>
      <c r="G325" t="e">
        <f>'Plant &amp; Fish Production'!#REF!</f>
        <v>#REF!</v>
      </c>
      <c r="H325" s="134" t="e">
        <f>'Plant &amp; Fish Production'!#REF!</f>
        <v>#REF!</v>
      </c>
    </row>
    <row r="326" spans="1:26" ht="24.6">
      <c r="A326" s="45"/>
      <c r="B326" s="74" t="str">
        <f>'Summary Data'!N5</f>
        <v>Fish Stocking and Feed Summary</v>
      </c>
      <c r="C326" s="74">
        <f>'Summary Data'!O5</f>
        <v>0</v>
      </c>
      <c r="D326" s="74">
        <f>'Summary Data'!P5</f>
        <v>0</v>
      </c>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3">
      <c r="B327" s="10" t="str">
        <f>'Summary Data'!N6</f>
        <v>Daily Feed Input in lbs</v>
      </c>
      <c r="C327" s="8">
        <f>'Summary Data'!O6</f>
        <v>0</v>
      </c>
      <c r="D327" s="10" t="str">
        <f>'Summary Data'!P6</f>
        <v>Total feed required based upon nutrient requirements of plant system</v>
      </c>
    </row>
    <row r="328" spans="1:26" ht="12.3">
      <c r="B328" s="10" t="str">
        <f>'Summary Data'!N7</f>
        <v>Target Harvest Weight in lbs</v>
      </c>
      <c r="C328" s="8">
        <f>'Summary Data'!O7</f>
        <v>1.5</v>
      </c>
      <c r="D328" s="10" t="str">
        <f>'Summary Data'!P7</f>
        <v>Target average harvest weight of the selected species</v>
      </c>
    </row>
    <row r="329" spans="1:26" ht="12.3">
      <c r="B329" s="10" t="str">
        <f>'Summary Data'!N8</f>
        <v>Target Stocking Density in lbs/gal</v>
      </c>
      <c r="C329" s="8">
        <f>'Summary Data'!O8</f>
        <v>0</v>
      </c>
      <c r="D329" s="10" t="str">
        <f>'Summary Data'!P8</f>
        <v xml:space="preserve">Indicates the final stocking density for the adult cohort on their last day before harvest </v>
      </c>
    </row>
    <row r="330" spans="1:26" ht="12.3">
      <c r="B330" s="10" t="str">
        <f>'Summary Data'!N9</f>
        <v>Stocking Rate of fish per tank</v>
      </c>
      <c r="C330" s="16" t="str">
        <f>'Summary Data'!O9</f>
        <v/>
      </c>
      <c r="D330" s="10" t="str">
        <f>'Summary Data'!P9</f>
        <v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v>
      </c>
    </row>
    <row r="331" spans="1:26" ht="12.3">
      <c r="B331" s="10" t="str">
        <f>'Summary Data'!N10</f>
        <v>Growout period (months)</v>
      </c>
      <c r="C331" s="16">
        <f>'Summary Data'!O10</f>
        <v>11</v>
      </c>
      <c r="D331" s="10" t="str">
        <f>'Summary Data'!P10</f>
        <v>Will depend on species</v>
      </c>
    </row>
    <row r="332" spans="1:26" ht="12.3">
      <c r="B332" s="10" t="str">
        <f>'Summary Data'!N11</f>
        <v>Number of tanks (or age cohorts of fish)</v>
      </c>
      <c r="C332" s="16">
        <f>'Summary Data'!O11</f>
        <v>4</v>
      </c>
      <c r="D332" s="10" t="str">
        <f>'Summary Data'!P11</f>
        <v>Each tank will contain a unique age cohort of fish roughly separated in age by the restocking frequency</v>
      </c>
    </row>
    <row r="333" spans="1:26" ht="12.3">
      <c r="B333" s="10" t="str">
        <f>'Summary Data'!N12</f>
        <v>Restock every (months)</v>
      </c>
      <c r="C333" s="8">
        <f>'Summary Data'!O12</f>
        <v>2.75</v>
      </c>
      <c r="D333" s="10" t="str">
        <f>'Summary Data'!P12</f>
        <v>Once the adult cohort is harvested, the empty tank becomes the new fingerling tank. Actual grow out period and restocking frequency will vary by species, feed rate and other water quality factors affecting fish health and growth</v>
      </c>
    </row>
    <row r="334" spans="1:26" ht="12.3">
      <c r="B334" s="10" t="str">
        <f>'Summary Data'!N13</f>
        <v>Weight per Harvest in lbs</v>
      </c>
      <c r="C334" s="16" t="str">
        <f>'Summary Data'!O13</f>
        <v/>
      </c>
      <c r="D334" s="10" t="str">
        <f>'Summary Data'!P13</f>
        <v xml:space="preserve">This would be the weight of all fish in the adult tank at their full harvest weight. We recommend taking small partial harvests as opposed to harvesting all of the fish at once. </v>
      </c>
    </row>
    <row r="335" spans="1:26" ht="12.3">
      <c r="B335" s="10" t="str">
        <f>'Summary Data'!N14</f>
        <v>Water Volume per tank in gallons</v>
      </c>
      <c r="C335" s="16" t="str">
        <f>'Summary Data'!O14</f>
        <v/>
      </c>
      <c r="D335" s="10" t="str">
        <f>'Summary Data'!P14</f>
        <v>Based upon the weight per harvest and the stocking density</v>
      </c>
    </row>
    <row r="336" spans="1:26" ht="12.3">
      <c r="B336" s="68" t="str">
        <f>'Summary Data'!N15</f>
        <v>Annual Weight in lbs</v>
      </c>
      <c r="C336" s="85" t="str">
        <f>'Summary Data'!O15</f>
        <v/>
      </c>
      <c r="D336" s="68" t="str">
        <f>'Summary Data'!P15</f>
        <v>Average target harvest weight multiplied by the number of fish</v>
      </c>
    </row>
    <row r="337" spans="1:26" ht="12.3">
      <c r="B337">
        <f>'Summary Data'!N16</f>
        <v>0</v>
      </c>
    </row>
    <row r="338" spans="1:26" ht="24.6">
      <c r="A338" s="45"/>
      <c r="B338" s="74" t="str">
        <f>'Summary Data'!H5</f>
        <v>Growing Environment</v>
      </c>
      <c r="C338" s="135" t="str">
        <f>'Summary Data'!I5</f>
        <v>Annual</v>
      </c>
      <c r="D338" s="135" t="str">
        <f>'Summary Data'!J5</f>
        <v>Monthly avg.</v>
      </c>
      <c r="E338" s="135" t="str">
        <f>'Summary Data'!K5</f>
        <v>Weekly avg.</v>
      </c>
      <c r="F338" s="135" t="str">
        <f>'Summary Data'!L5</f>
        <v>Total Lbs</v>
      </c>
      <c r="G338" s="45"/>
      <c r="H338" s="45"/>
      <c r="I338" s="45"/>
      <c r="J338" s="45"/>
      <c r="K338" s="45"/>
      <c r="L338" s="45"/>
      <c r="M338" s="45"/>
      <c r="N338" s="45"/>
      <c r="O338" s="45"/>
      <c r="P338" s="45"/>
      <c r="Q338" s="45"/>
      <c r="R338" s="45"/>
      <c r="S338" s="45"/>
      <c r="T338" s="45"/>
      <c r="U338" s="45"/>
      <c r="V338" s="45"/>
      <c r="W338" s="45"/>
      <c r="X338" s="45"/>
      <c r="Y338" s="45"/>
      <c r="Z338" s="45"/>
    </row>
    <row r="339" spans="1:26" ht="12.3">
      <c r="B339" s="10" t="str">
        <f>'Summary Data'!H6</f>
        <v>Growasis DWC (# of plants)</v>
      </c>
      <c r="C339" s="42">
        <f>'Summary Data'!I6</f>
        <v>19825.866666666665</v>
      </c>
      <c r="D339" s="42">
        <f>'Summary Data'!J6</f>
        <v>1652.1555555555553</v>
      </c>
      <c r="E339" s="42">
        <f>'Summary Data'!K6</f>
        <v>381.26666666666665</v>
      </c>
      <c r="F339" s="42">
        <f>'Summary Data'!L6</f>
        <v>2593.5</v>
      </c>
    </row>
    <row r="340" spans="1:26" ht="12.3">
      <c r="B340" s="10" t="str">
        <f>'Summary Data'!H7</f>
        <v>Media Beds (lbs of product)</v>
      </c>
      <c r="C340" s="42">
        <f>'Summary Data'!I7</f>
        <v>0</v>
      </c>
      <c r="D340" s="42">
        <f>'Summary Data'!J7</f>
        <v>0</v>
      </c>
      <c r="E340" s="42">
        <f>'Summary Data'!K7</f>
        <v>0</v>
      </c>
      <c r="F340" s="42">
        <f>'Summary Data'!L7</f>
        <v>0</v>
      </c>
    </row>
    <row r="341" spans="1:26" ht="12.3">
      <c r="B341" s="10" t="str">
        <f>'Summary Data'!H8</f>
        <v>Microgreens (# of flats)</v>
      </c>
      <c r="C341" s="42">
        <f>'Summary Data'!I8</f>
        <v>156</v>
      </c>
      <c r="D341" s="42">
        <f>'Summary Data'!J8</f>
        <v>13</v>
      </c>
      <c r="E341" s="42">
        <f>'Summary Data'!K8</f>
        <v>3</v>
      </c>
      <c r="F341" s="42">
        <f>'Summary Data'!L8</f>
        <v>0</v>
      </c>
    </row>
    <row r="342" spans="1:26" ht="12.3">
      <c r="B342" s="10" t="str">
        <f>'Summary Data'!H9</f>
        <v>Fish live weight (lbs)</v>
      </c>
      <c r="C342" s="42" t="str">
        <f>'Summary Data'!I9</f>
        <v/>
      </c>
      <c r="D342" s="42">
        <f>'Summary Data'!J9</f>
        <v>0</v>
      </c>
      <c r="E342" s="42">
        <f>'Summary Data'!K9</f>
        <v>0</v>
      </c>
      <c r="F342" s="42" t="str">
        <f>'Summary Data'!L9</f>
        <v/>
      </c>
    </row>
    <row r="343" spans="1:26" ht="12.3">
      <c r="B343">
        <f>'Summary Data'!H10</f>
        <v>0</v>
      </c>
      <c r="C343">
        <f>'Summary Data'!I10</f>
        <v>0</v>
      </c>
      <c r="D343">
        <f>'Summary Data'!J10</f>
        <v>0</v>
      </c>
      <c r="E343">
        <f>'Summary Data'!K10</f>
        <v>0</v>
      </c>
      <c r="F343">
        <f>'Summary Data'!L10</f>
        <v>0</v>
      </c>
    </row>
    <row r="344" spans="1:26" ht="12.3">
      <c r="B344" s="136" t="str">
        <f>'Summary Data'!H30</f>
        <v xml:space="preserve">Capital Summary </v>
      </c>
      <c r="C344" s="137" t="str">
        <f>'Summary Data'!I30</f>
        <v>Building ft2</v>
      </c>
      <c r="D344" s="138">
        <f>'Summary Data'!J30</f>
        <v>5000</v>
      </c>
    </row>
    <row r="345" spans="1:26" ht="12.3">
      <c r="B345" s="10" t="str">
        <f>'Summary Data'!H31</f>
        <v>Categories</v>
      </c>
      <c r="C345" s="19" t="str">
        <f>'Summary Data'!I31</f>
        <v>Cost</v>
      </c>
      <c r="D345" s="19" t="str">
        <f>'Summary Data'!J31</f>
        <v>cost per ft2</v>
      </c>
    </row>
    <row r="346" spans="1:26" ht="12.3">
      <c r="B346" s="10" t="str">
        <f>'Summary Data'!H32</f>
        <v>Greenhouse and/or Building Improvements</v>
      </c>
      <c r="C346" s="11">
        <f>'Summary Data'!I32</f>
        <v>50000</v>
      </c>
      <c r="D346" s="11">
        <f>'Summary Data'!J32</f>
        <v>10</v>
      </c>
    </row>
    <row r="347" spans="1:26" ht="12.3">
      <c r="B347" s="10" t="str">
        <f>'Summary Data'!H33</f>
        <v>Aquaponic System</v>
      </c>
      <c r="C347" s="11">
        <f>'Summary Data'!I33</f>
        <v>0</v>
      </c>
      <c r="D347" s="11">
        <f>'Summary Data'!J33</f>
        <v>0</v>
      </c>
    </row>
    <row r="348" spans="1:26" ht="12.3">
      <c r="B348" s="10" t="str">
        <f>'Summary Data'!H34</f>
        <v>City and County Entitlement</v>
      </c>
      <c r="C348" s="11">
        <f>'Summary Data'!I34</f>
        <v>0</v>
      </c>
      <c r="D348" s="11">
        <f>'Summary Data'!J34</f>
        <v>0</v>
      </c>
    </row>
    <row r="349" spans="1:26" ht="12.3">
      <c r="B349" s="10" t="str">
        <f>'Summary Data'!H35</f>
        <v>Site Development</v>
      </c>
      <c r="C349" s="11">
        <f>'Summary Data'!I35</f>
        <v>0</v>
      </c>
      <c r="D349" s="11">
        <f>'Summary Data'!J35</f>
        <v>0</v>
      </c>
    </row>
    <row r="350" spans="1:26" ht="12.3">
      <c r="B350" s="10" t="str">
        <f>'Summary Data'!H36</f>
        <v>FF&amp;E</v>
      </c>
      <c r="C350" s="11">
        <f>'Summary Data'!I36</f>
        <v>0</v>
      </c>
      <c r="D350" s="11">
        <f>'Summary Data'!J36</f>
        <v>0</v>
      </c>
    </row>
    <row r="351" spans="1:26" ht="12.3">
      <c r="B351" s="10" t="str">
        <f>'Summary Data'!H37</f>
        <v>Farm Supplies</v>
      </c>
      <c r="C351" s="11">
        <f>'Summary Data'!I37</f>
        <v>0</v>
      </c>
      <c r="D351" s="11">
        <f>'Summary Data'!J37</f>
        <v>0</v>
      </c>
    </row>
    <row r="352" spans="1:26" ht="12.3">
      <c r="B352" s="139" t="str">
        <f>'Summary Data'!H38</f>
        <v>Subtotal Capital</v>
      </c>
      <c r="C352" s="86">
        <f>'Summary Data'!I38</f>
        <v>50000</v>
      </c>
      <c r="D352" s="86">
        <f>'Summary Data'!J38</f>
        <v>10</v>
      </c>
    </row>
    <row r="353" spans="1:26" ht="12.3">
      <c r="B353" s="140" t="str">
        <f>'Summary Data'!H39</f>
        <v>Contingency @ 10%</v>
      </c>
      <c r="C353" s="11">
        <f>'Summary Data'!I39</f>
        <v>0</v>
      </c>
      <c r="D353" s="11">
        <f>'Summary Data'!J39</f>
        <v>0</v>
      </c>
    </row>
    <row r="354" spans="1:26" ht="12.3">
      <c r="B354" s="139" t="str">
        <f>'Summary Data'!H40</f>
        <v>Building and Equipment Capital</v>
      </c>
      <c r="C354" s="86">
        <f>'Summary Data'!I40</f>
        <v>50000</v>
      </c>
      <c r="D354" s="86">
        <f>'Summary Data'!J40</f>
        <v>10</v>
      </c>
    </row>
    <row r="355" spans="1:26" ht="12.3">
      <c r="B355" t="e">
        <f>'Summary Data'!#REF!</f>
        <v>#REF!</v>
      </c>
    </row>
    <row r="356" spans="1:26" ht="12.3">
      <c r="B356" s="13" t="s">
        <v>54</v>
      </c>
      <c r="C356" t="e">
        <f>'Plant &amp; Fish Production'!#REF!</f>
        <v>#REF!</v>
      </c>
      <c r="D356" t="e">
        <f>'Plant &amp; Fish Production'!#REF!</f>
        <v>#REF!</v>
      </c>
      <c r="E356" t="e">
        <f>'Plant &amp; Fish Production'!#REF!</f>
        <v>#REF!</v>
      </c>
      <c r="F356" t="e">
        <f>'Plant &amp; Fish Production'!#REF!</f>
        <v>#REF!</v>
      </c>
      <c r="G356" t="e">
        <f>'Plant &amp; Fish Production'!#REF!</f>
        <v>#REF!</v>
      </c>
      <c r="H356" s="134" t="e">
        <f>'Plant &amp; Fish Production'!#REF!</f>
        <v>#REF!</v>
      </c>
    </row>
    <row r="357" spans="1:26" ht="12.3">
      <c r="A357" s="45"/>
      <c r="B357" s="87" t="str">
        <f>'Plant and IPM Supplies'!B4</f>
        <v>Category</v>
      </c>
      <c r="C357" s="141" t="str">
        <f>'Plant and IPM Supplies'!D4</f>
        <v>Year 1</v>
      </c>
      <c r="D357" s="141" t="str">
        <f>'Plant and IPM Supplies'!E4</f>
        <v>Year 2</v>
      </c>
      <c r="E357" s="141" t="str">
        <f>'Plant and IPM Supplies'!F4</f>
        <v>Year 3</v>
      </c>
      <c r="F357" s="141" t="str">
        <f>'Plant and IPM Supplies'!G4</f>
        <v>Year 4</v>
      </c>
      <c r="G357" s="45"/>
      <c r="H357" s="45"/>
      <c r="I357" s="45"/>
      <c r="J357" s="45"/>
      <c r="K357" s="45"/>
      <c r="L357" s="45"/>
      <c r="M357" s="45"/>
      <c r="N357" s="45"/>
      <c r="O357" s="45"/>
      <c r="P357" s="45"/>
      <c r="Q357" s="45"/>
      <c r="R357" s="45"/>
      <c r="S357" s="45"/>
      <c r="T357" s="45"/>
      <c r="U357" s="45"/>
      <c r="V357" s="45"/>
      <c r="W357" s="45"/>
      <c r="X357" s="45"/>
      <c r="Y357" s="45"/>
      <c r="Z357" s="45"/>
    </row>
    <row r="358" spans="1:26" ht="12.3">
      <c r="B358" s="10" t="e">
        <f>'Plant and IPM Supplies'!#REF!</f>
        <v>#REF!</v>
      </c>
      <c r="C358" s="11" t="e">
        <f>'Plant and IPM Supplies'!#REF!</f>
        <v>#REF!</v>
      </c>
      <c r="D358" s="11" t="e">
        <f>'Plant and IPM Supplies'!#REF!</f>
        <v>#REF!</v>
      </c>
      <c r="E358" s="11" t="e">
        <f>'Plant and IPM Supplies'!#REF!</f>
        <v>#REF!</v>
      </c>
      <c r="F358" s="11" t="e">
        <f>'Plant and IPM Supplies'!#REF!</f>
        <v>#REF!</v>
      </c>
    </row>
    <row r="360" spans="1:26" ht="12.3">
      <c r="B360" s="13" t="s">
        <v>678</v>
      </c>
    </row>
    <row r="361" spans="1:26" ht="12.3">
      <c r="B361" s="136" t="str">
        <f>'Energy and Water'!F3</f>
        <v>Electricity</v>
      </c>
      <c r="C361" s="10" t="str">
        <f>'Energy and Water'!G3</f>
        <v>$ kWh</v>
      </c>
      <c r="D361" s="20">
        <f>'Energy and Water'!H3</f>
        <v>0.1</v>
      </c>
    </row>
    <row r="362" spans="1:26" ht="12.3">
      <c r="B362" s="136" t="str">
        <f>'Energy and Water'!F4</f>
        <v>Gas</v>
      </c>
      <c r="C362" s="10" t="str">
        <f>'Energy and Water'!G4</f>
        <v>$ per therm</v>
      </c>
      <c r="D362" s="20">
        <f>'Energy and Water'!H4</f>
        <v>0</v>
      </c>
    </row>
    <row r="363" spans="1:26" ht="12.3">
      <c r="B363" s="136" t="str">
        <f>'Energy and Water'!F5</f>
        <v>Water</v>
      </c>
      <c r="C363" s="10" t="str">
        <f>'Energy and Water'!G5</f>
        <v>$ per 1,000 gal</v>
      </c>
      <c r="D363" s="20">
        <f>'Energy and Water'!H5</f>
        <v>0</v>
      </c>
    </row>
    <row r="364" spans="1:26" ht="12.3">
      <c r="B364" t="e">
        <f>'Plant &amp; Fish Production'!#REF!</f>
        <v>#REF!</v>
      </c>
      <c r="C364" t="e">
        <f>'Plant &amp; Fish Production'!#REF!</f>
        <v>#REF!</v>
      </c>
      <c r="D364" t="e">
        <f>'Plant &amp; Fish Production'!#REF!</f>
        <v>#REF!</v>
      </c>
      <c r="E364" t="e">
        <f>'Plant &amp; Fish Production'!#REF!</f>
        <v>#REF!</v>
      </c>
      <c r="F364" t="e">
        <f>'Plant &amp; Fish Production'!#REF!</f>
        <v>#REF!</v>
      </c>
      <c r="G364" t="e">
        <f>'Plant &amp; Fish Production'!#REF!</f>
        <v>#REF!</v>
      </c>
      <c r="H364" s="134" t="e">
        <f>'Plant &amp; Fish Production'!#REF!</f>
        <v>#REF!</v>
      </c>
    </row>
    <row r="365" spans="1:26" ht="12.3">
      <c r="B365" s="136" t="str">
        <f>'Energy and Water'!F6</f>
        <v>Annual</v>
      </c>
      <c r="C365" s="137" t="str">
        <f>'Energy and Water'!H6</f>
        <v>Year 1</v>
      </c>
      <c r="D365" s="137" t="str">
        <f>'Energy and Water'!I6</f>
        <v>Year 2</v>
      </c>
      <c r="E365" s="137" t="str">
        <f>'Energy and Water'!J6</f>
        <v>Year 3</v>
      </c>
      <c r="F365" s="137" t="str">
        <f>'Energy and Water'!K6</f>
        <v>Year 4</v>
      </c>
      <c r="G365" s="35">
        <f>'Energy and Water'!L6</f>
        <v>0</v>
      </c>
      <c r="H365" s="35">
        <f>'Energy and Water'!M6</f>
        <v>0</v>
      </c>
      <c r="I365" s="35">
        <f>'Energy and Water'!N6</f>
        <v>0</v>
      </c>
      <c r="J365" s="35"/>
      <c r="K365" s="35"/>
      <c r="L365" s="35"/>
      <c r="M365" s="35"/>
    </row>
    <row r="366" spans="1:26" ht="12.3">
      <c r="B366" s="10" t="str">
        <f>'Energy and Water'!F7</f>
        <v>Energy</v>
      </c>
      <c r="C366" s="11">
        <f>'Energy and Water'!H7</f>
        <v>360</v>
      </c>
      <c r="D366" s="11">
        <f>'Energy and Water'!I7</f>
        <v>360</v>
      </c>
      <c r="E366" s="11">
        <f>'Energy and Water'!J7</f>
        <v>360</v>
      </c>
      <c r="F366" s="11">
        <f>'Energy and Water'!K7</f>
        <v>360</v>
      </c>
      <c r="G366" s="35">
        <f>'Energy and Water'!L7</f>
        <v>0</v>
      </c>
      <c r="H366" s="35">
        <f>'Energy and Water'!M7</f>
        <v>0</v>
      </c>
      <c r="I366" s="35">
        <f>'Energy and Water'!N7</f>
        <v>0</v>
      </c>
      <c r="J366" s="35"/>
      <c r="K366" s="35"/>
      <c r="L366" s="35"/>
      <c r="M366" s="35"/>
    </row>
    <row r="367" spans="1:26" ht="12.3">
      <c r="B367" s="142" t="s">
        <v>222</v>
      </c>
      <c r="C367" s="143">
        <f>'Energy and Water'!H8</f>
        <v>7</v>
      </c>
      <c r="D367" s="143">
        <f>'Energy and Water'!I8</f>
        <v>8</v>
      </c>
      <c r="E367" s="143">
        <f>'Energy and Water'!J8</f>
        <v>9</v>
      </c>
      <c r="F367" s="143">
        <f>'Energy and Water'!K8</f>
        <v>10</v>
      </c>
      <c r="G367" s="143">
        <f>'Energy and Water'!L8</f>
        <v>11</v>
      </c>
      <c r="H367" s="143">
        <f>'Energy and Water'!M8</f>
        <v>12</v>
      </c>
      <c r="I367" s="143">
        <f>'Energy and Water'!N8</f>
        <v>1</v>
      </c>
      <c r="J367" s="143">
        <f>'Energy and Water'!O8</f>
        <v>2</v>
      </c>
      <c r="K367" s="143">
        <f>'Energy and Water'!P8</f>
        <v>3</v>
      </c>
      <c r="L367" s="143">
        <f>'Energy and Water'!Q8</f>
        <v>4</v>
      </c>
      <c r="M367" s="143">
        <f>'Energy and Water'!R8</f>
        <v>5</v>
      </c>
      <c r="O367" s="144">
        <f>'Energy and Water'!U8</f>
        <v>0</v>
      </c>
    </row>
    <row r="368" spans="1:26" ht="12.3">
      <c r="B368" s="10" t="str">
        <f>'Energy and Water'!F9</f>
        <v xml:space="preserve">Gas </v>
      </c>
      <c r="C368" s="11">
        <f>'Energy and Water'!H9</f>
        <v>0</v>
      </c>
      <c r="D368" s="11">
        <f>'Energy and Water'!I9</f>
        <v>0</v>
      </c>
      <c r="E368" s="11">
        <f>'Energy and Water'!J9</f>
        <v>0</v>
      </c>
      <c r="F368" s="11">
        <f>'Energy and Water'!K9</f>
        <v>0</v>
      </c>
      <c r="G368" s="11">
        <f>'Energy and Water'!L9</f>
        <v>0</v>
      </c>
      <c r="H368" s="11">
        <f>'Energy and Water'!M9</f>
        <v>0</v>
      </c>
      <c r="I368" s="11">
        <f>'Energy and Water'!N9</f>
        <v>0</v>
      </c>
      <c r="J368" s="11">
        <f>'Energy and Water'!O9</f>
        <v>0</v>
      </c>
      <c r="K368" s="11">
        <f>'Energy and Water'!P9</f>
        <v>0</v>
      </c>
      <c r="L368" s="11">
        <f>'Energy and Water'!Q9</f>
        <v>0</v>
      </c>
      <c r="M368" s="11">
        <f>'Energy and Water'!R9</f>
        <v>0</v>
      </c>
      <c r="O368" s="145">
        <f>'Energy and Water'!U9</f>
        <v>0</v>
      </c>
    </row>
    <row r="369" spans="1:26" ht="12.3">
      <c r="B369" s="10" t="str">
        <f>'Energy and Water'!F10</f>
        <v>Electricity</v>
      </c>
      <c r="C369" s="11">
        <f>'Energy and Water'!H10</f>
        <v>36</v>
      </c>
      <c r="D369" s="11">
        <f>'Energy and Water'!I10</f>
        <v>36</v>
      </c>
      <c r="E369" s="11">
        <f>'Energy and Water'!J10</f>
        <v>36</v>
      </c>
      <c r="F369" s="11">
        <f>'Energy and Water'!K10</f>
        <v>36</v>
      </c>
      <c r="G369" s="11">
        <f>'Energy and Water'!L10</f>
        <v>36</v>
      </c>
      <c r="H369" s="11">
        <f>'Energy and Water'!M10</f>
        <v>36</v>
      </c>
      <c r="I369" s="11">
        <f>'Energy and Water'!N10</f>
        <v>36</v>
      </c>
      <c r="J369" s="11">
        <f>'Energy and Water'!O10</f>
        <v>36</v>
      </c>
      <c r="K369" s="11">
        <f>'Energy and Water'!P10</f>
        <v>0</v>
      </c>
      <c r="L369" s="11">
        <f>'Energy and Water'!Q10</f>
        <v>36</v>
      </c>
      <c r="M369" s="11">
        <f>'Energy and Water'!R10</f>
        <v>0</v>
      </c>
      <c r="O369" s="145">
        <f>'Energy and Water'!U10</f>
        <v>0</v>
      </c>
    </row>
    <row r="370" spans="1:26" ht="12.3">
      <c r="B370" s="10" t="str">
        <f>'Energy and Water'!F11</f>
        <v>Water</v>
      </c>
      <c r="C370" s="11" t="e">
        <f>'Energy and Water'!#REF!</f>
        <v>#REF!</v>
      </c>
      <c r="D370" s="11">
        <f>'Energy and Water'!I11</f>
        <v>0</v>
      </c>
      <c r="E370" s="11">
        <f>'Energy and Water'!J11</f>
        <v>0</v>
      </c>
      <c r="F370" s="11">
        <f>'Energy and Water'!K11</f>
        <v>0</v>
      </c>
      <c r="G370" s="11">
        <f>'Energy and Water'!L11</f>
        <v>0</v>
      </c>
      <c r="H370" s="11">
        <f>'Energy and Water'!M11</f>
        <v>0</v>
      </c>
      <c r="I370" s="11">
        <f>'Energy and Water'!N11</f>
        <v>0</v>
      </c>
      <c r="J370" s="11">
        <f>'Energy and Water'!O11</f>
        <v>0</v>
      </c>
      <c r="K370" s="11">
        <f>'Energy and Water'!P11</f>
        <v>0</v>
      </c>
      <c r="L370" s="11">
        <f>'Energy and Water'!Q11</f>
        <v>0</v>
      </c>
      <c r="M370" s="11">
        <f>'Energy and Water'!R11</f>
        <v>0</v>
      </c>
    </row>
    <row r="371" spans="1:26" ht="12.3">
      <c r="B371" s="68" t="str">
        <f>'Energy and Water'!F12</f>
        <v xml:space="preserve">Total </v>
      </c>
      <c r="C371" s="86">
        <f>'Energy and Water'!H12</f>
        <v>36</v>
      </c>
      <c r="D371" s="86">
        <f>'Energy and Water'!I12</f>
        <v>36</v>
      </c>
      <c r="E371" s="86">
        <f>'Energy and Water'!J12</f>
        <v>36</v>
      </c>
      <c r="F371" s="86">
        <f>'Energy and Water'!K12</f>
        <v>36</v>
      </c>
      <c r="G371" s="86">
        <f>'Energy and Water'!L12</f>
        <v>36</v>
      </c>
      <c r="H371" s="86">
        <f>'Energy and Water'!M12</f>
        <v>36</v>
      </c>
      <c r="I371" s="86">
        <f>'Energy and Water'!N12</f>
        <v>36</v>
      </c>
      <c r="J371" s="86">
        <f>'Energy and Water'!O12</f>
        <v>36</v>
      </c>
      <c r="K371" s="86">
        <f>'Energy and Water'!P12</f>
        <v>0</v>
      </c>
      <c r="L371" s="86">
        <f>'Energy and Water'!Q12</f>
        <v>36</v>
      </c>
      <c r="M371" s="86">
        <f>'Energy and Water'!R12</f>
        <v>0</v>
      </c>
    </row>
    <row r="373" spans="1:26" ht="12.3">
      <c r="B373" s="13" t="s">
        <v>679</v>
      </c>
      <c r="C373" s="13" t="s">
        <v>680</v>
      </c>
      <c r="M373" s="146" t="s">
        <v>681</v>
      </c>
      <c r="N373" s="147"/>
      <c r="O373" s="148"/>
      <c r="P373" s="148"/>
      <c r="Q373" s="148"/>
      <c r="R373" s="148"/>
      <c r="S373" s="148"/>
      <c r="T373" s="148"/>
      <c r="U373" s="148"/>
    </row>
    <row r="374" spans="1:26" ht="36.9">
      <c r="A374" s="87" t="str">
        <f>'Energy and Water'!B15</f>
        <v>Units</v>
      </c>
      <c r="B374" s="87" t="str">
        <f>'Energy and Water'!E15</f>
        <v>Equipment Usage</v>
      </c>
      <c r="C374" s="88" t="str">
        <f>'Energy and Water'!G15</f>
        <v>volts</v>
      </c>
      <c r="D374" s="88" t="str">
        <f>'Energy and Water'!H15</f>
        <v>amps</v>
      </c>
      <c r="E374" s="88" t="str">
        <f>'Energy and Water'!J15</f>
        <v>Running watts per unit</v>
      </c>
      <c r="F374" s="88" t="str">
        <f>'Energy and Water'!K15</f>
        <v>total watts</v>
      </c>
      <c r="G374" s="88" t="str">
        <f>'Energy and Water'!L15</f>
        <v>kWh</v>
      </c>
      <c r="H374" s="149" t="str">
        <f>'Energy and Water'!R15</f>
        <v>Op Hrs per day</v>
      </c>
      <c r="I374" s="150" t="str">
        <f>'Energy and Water'!S15</f>
        <v>Op Days per week</v>
      </c>
      <c r="J374" s="151" t="s">
        <v>682</v>
      </c>
      <c r="K374" s="45"/>
      <c r="L374" s="45"/>
      <c r="M374" s="152" t="str">
        <f t="shared" ref="M374:M382" si="0">A374</f>
        <v>Units</v>
      </c>
      <c r="N374" s="153" t="str">
        <f t="shared" ref="N374:N382" si="1">B374</f>
        <v>Equipment Usage</v>
      </c>
      <c r="O374" s="154" t="str">
        <f t="shared" ref="O374:O382" si="2">E374</f>
        <v>Running watts per unit</v>
      </c>
      <c r="P374" s="154" t="str">
        <f t="shared" ref="P374:P382" si="3">F374</f>
        <v>total watts</v>
      </c>
      <c r="Q374" s="155" t="str">
        <f t="shared" ref="Q374:Q382" si="4">H374</f>
        <v>Op Hrs per day</v>
      </c>
      <c r="R374" s="155" t="str">
        <f t="shared" ref="R374:R382" si="5">I374</f>
        <v>Op Days per week</v>
      </c>
      <c r="S374" s="154" t="str">
        <f t="shared" ref="S374:S382" si="6">J374</f>
        <v>Op Mths</v>
      </c>
      <c r="T374" s="154" t="str">
        <f>'Energy and Water'!M15</f>
        <v>Daily kWh</v>
      </c>
      <c r="U374" s="156" t="str">
        <f>'Energy and Water'!O15</f>
        <v>Monthly kWh</v>
      </c>
      <c r="V374" s="45"/>
      <c r="W374" s="45"/>
      <c r="X374" s="45"/>
      <c r="Y374" s="45"/>
      <c r="Z374" s="45"/>
    </row>
    <row r="375" spans="1:26" ht="12.3">
      <c r="A375" s="19">
        <f>'Energy and Water'!B17</f>
        <v>1</v>
      </c>
      <c r="B375" s="10">
        <f>'Energy and Water'!E17</f>
        <v>0</v>
      </c>
      <c r="C375" s="19">
        <f>'Energy and Water'!G17</f>
        <v>120</v>
      </c>
      <c r="D375" s="8">
        <f>'Energy and Water'!H17</f>
        <v>4.166666666666667</v>
      </c>
      <c r="E375" s="19">
        <f>'Energy and Water'!J17</f>
        <v>500</v>
      </c>
      <c r="F375" s="19">
        <f>'Energy and Water'!K17</f>
        <v>500</v>
      </c>
      <c r="G375" s="8">
        <f>'Energy and Water'!L17</f>
        <v>0.5</v>
      </c>
      <c r="H375" s="16">
        <f>'Energy and Water'!R17</f>
        <v>24</v>
      </c>
      <c r="I375" s="157">
        <f>'Energy and Water'!S17</f>
        <v>7</v>
      </c>
      <c r="J375" s="110">
        <f>SUM('Energy and Water'!T17:AE17)</f>
        <v>10</v>
      </c>
      <c r="M375" s="158">
        <f t="shared" si="0"/>
        <v>1</v>
      </c>
      <c r="N375" s="159">
        <f t="shared" si="1"/>
        <v>0</v>
      </c>
      <c r="O375" s="160">
        <f t="shared" si="2"/>
        <v>500</v>
      </c>
      <c r="P375" s="160">
        <f t="shared" si="3"/>
        <v>500</v>
      </c>
      <c r="Q375" s="161">
        <f t="shared" si="4"/>
        <v>24</v>
      </c>
      <c r="R375" s="162">
        <f t="shared" si="5"/>
        <v>7</v>
      </c>
      <c r="S375" s="162">
        <f t="shared" si="6"/>
        <v>10</v>
      </c>
      <c r="T375" s="163">
        <f>'Energy and Water'!M17</f>
        <v>12</v>
      </c>
      <c r="U375" s="51">
        <f>'Energy and Water'!O17</f>
        <v>360</v>
      </c>
    </row>
    <row r="376" spans="1:26" ht="12.3">
      <c r="A376" s="19">
        <f>'Energy and Water'!B18</f>
        <v>0</v>
      </c>
      <c r="B376" s="10">
        <f>'Energy and Water'!E18</f>
        <v>0</v>
      </c>
      <c r="C376" s="19">
        <f>'Energy and Water'!G18</f>
        <v>0</v>
      </c>
      <c r="D376" s="8" t="str">
        <f>'Energy and Water'!H18</f>
        <v/>
      </c>
      <c r="E376" s="19">
        <f>'Energy and Water'!J18</f>
        <v>0</v>
      </c>
      <c r="F376" s="19">
        <f>'Energy and Water'!K18</f>
        <v>0</v>
      </c>
      <c r="G376" s="8">
        <f>'Energy and Water'!L18</f>
        <v>0</v>
      </c>
      <c r="H376" s="16">
        <f>'Energy and Water'!R18</f>
        <v>0</v>
      </c>
      <c r="I376" s="157">
        <f>'Energy and Water'!S18</f>
        <v>0</v>
      </c>
      <c r="J376" s="110">
        <f>SUM('Energy and Water'!T18:AE18)</f>
        <v>0</v>
      </c>
      <c r="M376" s="158">
        <f t="shared" si="0"/>
        <v>0</v>
      </c>
      <c r="N376" s="159">
        <f t="shared" si="1"/>
        <v>0</v>
      </c>
      <c r="O376" s="160">
        <f t="shared" si="2"/>
        <v>0</v>
      </c>
      <c r="P376" s="160">
        <f t="shared" si="3"/>
        <v>0</v>
      </c>
      <c r="Q376" s="161">
        <f t="shared" si="4"/>
        <v>0</v>
      </c>
      <c r="R376" s="162">
        <f t="shared" si="5"/>
        <v>0</v>
      </c>
      <c r="S376" s="162">
        <f t="shared" si="6"/>
        <v>0</v>
      </c>
      <c r="T376" s="163">
        <f>'Energy and Water'!M18</f>
        <v>0</v>
      </c>
      <c r="U376" s="51">
        <f>'Energy and Water'!O18</f>
        <v>0</v>
      </c>
    </row>
    <row r="377" spans="1:26" ht="12.3">
      <c r="A377" s="19">
        <f>'Energy and Water'!B20</f>
        <v>0</v>
      </c>
      <c r="B377" s="10">
        <f>'Energy and Water'!E20</f>
        <v>0</v>
      </c>
      <c r="C377" s="19">
        <f>'Energy and Water'!G19</f>
        <v>0</v>
      </c>
      <c r="D377" s="8" t="str">
        <f>'Energy and Water'!H19</f>
        <v/>
      </c>
      <c r="E377" s="19">
        <f>'Energy and Water'!J19</f>
        <v>0</v>
      </c>
      <c r="F377" s="19">
        <f>'Energy and Water'!K19</f>
        <v>0</v>
      </c>
      <c r="G377" s="8">
        <f>'Energy and Water'!L19</f>
        <v>0</v>
      </c>
      <c r="H377" s="16">
        <f>'Energy and Water'!R19</f>
        <v>0</v>
      </c>
      <c r="I377" s="157">
        <f>'Energy and Water'!S19</f>
        <v>0</v>
      </c>
      <c r="J377" s="110">
        <f>SUM('Energy and Water'!T19:AE19)</f>
        <v>0</v>
      </c>
      <c r="M377" s="158">
        <f t="shared" si="0"/>
        <v>0</v>
      </c>
      <c r="N377" s="159">
        <f t="shared" si="1"/>
        <v>0</v>
      </c>
      <c r="O377" s="160">
        <f t="shared" si="2"/>
        <v>0</v>
      </c>
      <c r="P377" s="160">
        <f t="shared" si="3"/>
        <v>0</v>
      </c>
      <c r="Q377" s="161">
        <f t="shared" si="4"/>
        <v>0</v>
      </c>
      <c r="R377" s="162">
        <f t="shared" si="5"/>
        <v>0</v>
      </c>
      <c r="S377" s="162">
        <f t="shared" si="6"/>
        <v>0</v>
      </c>
      <c r="T377" s="163">
        <f>'Energy and Water'!M19</f>
        <v>0</v>
      </c>
      <c r="U377" s="51">
        <f>'Energy and Water'!O19</f>
        <v>0</v>
      </c>
    </row>
    <row r="378" spans="1:26" ht="12.3">
      <c r="A378" s="19">
        <f>'Energy and Water'!B19</f>
        <v>0</v>
      </c>
      <c r="B378" s="10">
        <f>'Energy and Water'!E19</f>
        <v>0</v>
      </c>
      <c r="C378" s="19">
        <f>'Energy and Water'!G20</f>
        <v>0</v>
      </c>
      <c r="D378" s="8" t="str">
        <f>'Energy and Water'!H20</f>
        <v/>
      </c>
      <c r="E378" s="19">
        <f>'Energy and Water'!J20</f>
        <v>0</v>
      </c>
      <c r="F378" s="19">
        <f>'Energy and Water'!K20</f>
        <v>0</v>
      </c>
      <c r="G378" s="8">
        <f>'Energy and Water'!L20</f>
        <v>0</v>
      </c>
      <c r="H378" s="16">
        <f>'Energy and Water'!R20</f>
        <v>0</v>
      </c>
      <c r="I378" s="157">
        <f>'Energy and Water'!S20</f>
        <v>0</v>
      </c>
      <c r="J378" s="110">
        <f>SUM('Energy and Water'!T20:AE20)</f>
        <v>0</v>
      </c>
      <c r="M378" s="158">
        <f t="shared" si="0"/>
        <v>0</v>
      </c>
      <c r="N378" s="159">
        <f t="shared" si="1"/>
        <v>0</v>
      </c>
      <c r="O378" s="160">
        <f t="shared" si="2"/>
        <v>0</v>
      </c>
      <c r="P378" s="160">
        <f t="shared" si="3"/>
        <v>0</v>
      </c>
      <c r="Q378" s="161">
        <f t="shared" si="4"/>
        <v>0</v>
      </c>
      <c r="R378" s="162">
        <f t="shared" si="5"/>
        <v>0</v>
      </c>
      <c r="S378" s="162">
        <f t="shared" si="6"/>
        <v>0</v>
      </c>
      <c r="T378" s="163">
        <f>'Energy and Water'!M20</f>
        <v>0</v>
      </c>
      <c r="U378" s="51">
        <f>'Energy and Water'!O20</f>
        <v>0</v>
      </c>
    </row>
    <row r="379" spans="1:26" ht="12.3">
      <c r="A379" s="19">
        <f>'Energy and Water'!B21</f>
        <v>0</v>
      </c>
      <c r="B379" s="10">
        <f>'Energy and Water'!E21</f>
        <v>0</v>
      </c>
      <c r="C379" s="19">
        <f>'Energy and Water'!G21</f>
        <v>0</v>
      </c>
      <c r="D379" s="8" t="str">
        <f>'Energy and Water'!H21</f>
        <v/>
      </c>
      <c r="E379" s="19">
        <f>'Energy and Water'!J21</f>
        <v>0</v>
      </c>
      <c r="F379" s="19">
        <f>'Energy and Water'!K21</f>
        <v>0</v>
      </c>
      <c r="G379" s="8">
        <f>'Energy and Water'!L21</f>
        <v>0</v>
      </c>
      <c r="H379" s="16">
        <f>'Energy and Water'!R21</f>
        <v>0</v>
      </c>
      <c r="I379" s="157">
        <f>'Energy and Water'!S21</f>
        <v>0</v>
      </c>
      <c r="J379" s="110">
        <f>SUM('Energy and Water'!T21:AE21)</f>
        <v>0</v>
      </c>
      <c r="M379" s="158">
        <f t="shared" si="0"/>
        <v>0</v>
      </c>
      <c r="N379" s="159">
        <f t="shared" si="1"/>
        <v>0</v>
      </c>
      <c r="O379" s="160">
        <f t="shared" si="2"/>
        <v>0</v>
      </c>
      <c r="P379" s="160">
        <f t="shared" si="3"/>
        <v>0</v>
      </c>
      <c r="Q379" s="161">
        <f t="shared" si="4"/>
        <v>0</v>
      </c>
      <c r="R379" s="162">
        <f t="shared" si="5"/>
        <v>0</v>
      </c>
      <c r="S379" s="162">
        <f t="shared" si="6"/>
        <v>0</v>
      </c>
      <c r="T379" s="163">
        <f>'Energy and Water'!M21</f>
        <v>0</v>
      </c>
      <c r="U379" s="51">
        <f>'Energy and Water'!O21</f>
        <v>0</v>
      </c>
    </row>
    <row r="380" spans="1:26" ht="12.3">
      <c r="A380" s="19">
        <f>'Energy and Water'!B22</f>
        <v>0</v>
      </c>
      <c r="B380" s="10">
        <f>'Energy and Water'!E22</f>
        <v>0</v>
      </c>
      <c r="C380" s="19">
        <f>'Energy and Water'!G22</f>
        <v>0</v>
      </c>
      <c r="D380" s="8" t="str">
        <f>'Energy and Water'!H22</f>
        <v/>
      </c>
      <c r="E380" s="19">
        <f>'Energy and Water'!J22</f>
        <v>0</v>
      </c>
      <c r="F380" s="19">
        <f>'Energy and Water'!K22</f>
        <v>0</v>
      </c>
      <c r="G380" s="8">
        <f>'Energy and Water'!L22</f>
        <v>0</v>
      </c>
      <c r="H380" s="16">
        <f>'Energy and Water'!R22</f>
        <v>0</v>
      </c>
      <c r="I380" s="157">
        <f>'Energy and Water'!S22</f>
        <v>0</v>
      </c>
      <c r="J380" s="110">
        <f>SUM('Energy and Water'!T22:AE22)</f>
        <v>0</v>
      </c>
      <c r="M380" s="158">
        <f t="shared" si="0"/>
        <v>0</v>
      </c>
      <c r="N380" s="159">
        <f t="shared" si="1"/>
        <v>0</v>
      </c>
      <c r="O380" s="160">
        <f t="shared" si="2"/>
        <v>0</v>
      </c>
      <c r="P380" s="160">
        <f t="shared" si="3"/>
        <v>0</v>
      </c>
      <c r="Q380" s="161">
        <f t="shared" si="4"/>
        <v>0</v>
      </c>
      <c r="R380" s="162">
        <f t="shared" si="5"/>
        <v>0</v>
      </c>
      <c r="S380" s="162">
        <f t="shared" si="6"/>
        <v>0</v>
      </c>
      <c r="T380" s="163">
        <f>'Energy and Water'!M22</f>
        <v>0</v>
      </c>
      <c r="U380" s="51">
        <f>'Energy and Water'!O22</f>
        <v>0</v>
      </c>
    </row>
    <row r="381" spans="1:26" ht="12.3">
      <c r="A381" s="19">
        <f>'Energy and Water'!B23</f>
        <v>0</v>
      </c>
      <c r="B381" s="10">
        <f>'Energy and Water'!E23</f>
        <v>0</v>
      </c>
      <c r="C381" s="19">
        <f>'Energy and Water'!G23</f>
        <v>0</v>
      </c>
      <c r="D381" s="8" t="str">
        <f>'Energy and Water'!H23</f>
        <v/>
      </c>
      <c r="E381" s="19">
        <f>'Energy and Water'!J23</f>
        <v>0</v>
      </c>
      <c r="F381" s="19">
        <f>'Energy and Water'!K23</f>
        <v>0</v>
      </c>
      <c r="G381" s="8">
        <f>'Energy and Water'!L23</f>
        <v>0</v>
      </c>
      <c r="H381" s="16">
        <f>'Energy and Water'!R23</f>
        <v>0</v>
      </c>
      <c r="I381" s="157">
        <f>'Energy and Water'!S23</f>
        <v>0</v>
      </c>
      <c r="J381" s="110">
        <f>SUM('Energy and Water'!T23:AE23)</f>
        <v>0</v>
      </c>
      <c r="M381" s="158">
        <f t="shared" si="0"/>
        <v>0</v>
      </c>
      <c r="N381" s="159">
        <f t="shared" si="1"/>
        <v>0</v>
      </c>
      <c r="O381" s="160">
        <f t="shared" si="2"/>
        <v>0</v>
      </c>
      <c r="P381" s="160">
        <f t="shared" si="3"/>
        <v>0</v>
      </c>
      <c r="Q381" s="161">
        <f t="shared" si="4"/>
        <v>0</v>
      </c>
      <c r="R381" s="162">
        <f t="shared" si="5"/>
        <v>0</v>
      </c>
      <c r="S381" s="162">
        <f t="shared" si="6"/>
        <v>0</v>
      </c>
      <c r="T381" s="163">
        <f>'Energy and Water'!M23</f>
        <v>0</v>
      </c>
      <c r="U381" s="51">
        <f>'Energy and Water'!O23</f>
        <v>0</v>
      </c>
    </row>
    <row r="382" spans="1:26" ht="12.3">
      <c r="A382" s="19">
        <f>'Energy and Water'!B24</f>
        <v>0</v>
      </c>
      <c r="B382" s="10">
        <f>'Energy and Water'!E24</f>
        <v>0</v>
      </c>
      <c r="C382" s="19">
        <f>'Energy and Water'!G24</f>
        <v>0</v>
      </c>
      <c r="D382" s="8" t="str">
        <f>'Energy and Water'!H24</f>
        <v/>
      </c>
      <c r="E382" s="19">
        <f>'Energy and Water'!J24</f>
        <v>0</v>
      </c>
      <c r="F382" s="19">
        <f>'Energy and Water'!K24</f>
        <v>0</v>
      </c>
      <c r="G382" s="8">
        <f>'Energy and Water'!L24</f>
        <v>0</v>
      </c>
      <c r="H382" s="16">
        <f>'Energy and Water'!R24</f>
        <v>0</v>
      </c>
      <c r="I382" s="157">
        <f>'Energy and Water'!S24</f>
        <v>0</v>
      </c>
      <c r="J382" s="110">
        <f>SUM('Energy and Water'!T24:AE24)</f>
        <v>0</v>
      </c>
      <c r="M382" s="158">
        <f t="shared" si="0"/>
        <v>0</v>
      </c>
      <c r="N382" s="159">
        <f t="shared" si="1"/>
        <v>0</v>
      </c>
      <c r="O382" s="160">
        <f t="shared" si="2"/>
        <v>0</v>
      </c>
      <c r="P382" s="160">
        <f t="shared" si="3"/>
        <v>0</v>
      </c>
      <c r="Q382" s="161">
        <f t="shared" si="4"/>
        <v>0</v>
      </c>
      <c r="R382" s="162">
        <f t="shared" si="5"/>
        <v>0</v>
      </c>
      <c r="S382" s="162">
        <f t="shared" si="6"/>
        <v>0</v>
      </c>
      <c r="T382" s="163">
        <f>'Energy and Water'!M24</f>
        <v>0</v>
      </c>
      <c r="U382" s="51">
        <f>'Energy and Water'!O24</f>
        <v>0</v>
      </c>
    </row>
    <row r="383" spans="1:26" ht="12.3">
      <c r="A383" s="68"/>
      <c r="B383" s="68" t="str">
        <f>'Energy and Water'!E26</f>
        <v>Totals</v>
      </c>
      <c r="C383" s="68"/>
      <c r="D383" s="68"/>
      <c r="E383" s="70">
        <f>'Energy and Water'!J26</f>
        <v>0</v>
      </c>
      <c r="F383" s="85">
        <f>'Energy and Water'!K26</f>
        <v>500</v>
      </c>
      <c r="G383" s="164">
        <f>'Energy and Water'!L26</f>
        <v>0.5</v>
      </c>
      <c r="H383" s="68"/>
      <c r="I383" s="68"/>
      <c r="J383" s="70"/>
      <c r="M383" s="165">
        <f>A427</f>
        <v>0</v>
      </c>
      <c r="N383" s="166">
        <f>B427</f>
        <v>0</v>
      </c>
      <c r="O383" s="52">
        <f>E427</f>
        <v>0</v>
      </c>
      <c r="P383" s="162">
        <f>F427</f>
        <v>0</v>
      </c>
      <c r="Q383" s="52">
        <f>H427</f>
        <v>0</v>
      </c>
      <c r="R383" s="52">
        <f>I427</f>
        <v>0</v>
      </c>
      <c r="S383" s="162">
        <f>J427</f>
        <v>5</v>
      </c>
      <c r="T383" s="163">
        <f>C437</f>
        <v>0</v>
      </c>
      <c r="U383" s="51">
        <f>D437</f>
        <v>0</v>
      </c>
    </row>
    <row r="384" spans="1:26" ht="12.3">
      <c r="B384" s="13"/>
      <c r="M384" s="167">
        <f>A383</f>
        <v>0</v>
      </c>
      <c r="N384" s="50" t="str">
        <f>B383</f>
        <v>Totals</v>
      </c>
      <c r="O384" s="168">
        <f>E383</f>
        <v>0</v>
      </c>
      <c r="P384" s="169">
        <f>SUM(P375:P383)</f>
        <v>500</v>
      </c>
      <c r="Q384" s="169">
        <f>H383</f>
        <v>0</v>
      </c>
      <c r="R384" s="169">
        <f>I383</f>
        <v>0</v>
      </c>
      <c r="S384" s="169">
        <f>J383</f>
        <v>0</v>
      </c>
      <c r="T384" s="170">
        <f>SUM(T375:T383)</f>
        <v>12</v>
      </c>
      <c r="U384" s="171">
        <f>SUM(U375:U383)</f>
        <v>360</v>
      </c>
    </row>
    <row r="385" spans="1:26" ht="12.3">
      <c r="B385" s="13" t="s">
        <v>683</v>
      </c>
    </row>
    <row r="386" spans="1:26" ht="24.6">
      <c r="A386" s="87" t="str">
        <f>'Energy and Water'!B15</f>
        <v>Units</v>
      </c>
      <c r="B386" s="172" t="str">
        <f>'Energy and Water'!E15</f>
        <v>Equipment Usage</v>
      </c>
      <c r="C386" s="88" t="str">
        <f>'Energy and Water'!M15</f>
        <v>Daily kWh</v>
      </c>
      <c r="D386" s="173" t="str">
        <f>'Energy and Water'!O15</f>
        <v>Monthly kWh</v>
      </c>
      <c r="E386" s="174" t="str">
        <f>'Energy and Water'!N15</f>
        <v>Cost per day</v>
      </c>
      <c r="F386" s="88" t="str">
        <f>'Energy and Water'!P15</f>
        <v>Cost Per month</v>
      </c>
      <c r="G386" s="88" t="str">
        <f>'Energy and Water'!Q15</f>
        <v>Cost Per year</v>
      </c>
      <c r="J386" s="45"/>
      <c r="K386" s="45"/>
      <c r="L386" s="45"/>
      <c r="M386" s="45"/>
      <c r="N386" s="146" t="s">
        <v>681</v>
      </c>
      <c r="O386" s="147"/>
      <c r="P386" s="45"/>
      <c r="Q386" s="45"/>
      <c r="R386" s="45"/>
      <c r="S386" s="45"/>
      <c r="T386" s="45"/>
      <c r="U386" s="45"/>
      <c r="V386" s="45"/>
      <c r="W386" s="45"/>
      <c r="X386" s="45"/>
      <c r="Y386" s="45"/>
      <c r="Z386" s="45"/>
    </row>
    <row r="387" spans="1:26" ht="24.6">
      <c r="A387" s="19">
        <f>'Energy and Water'!B17</f>
        <v>1</v>
      </c>
      <c r="B387" s="175">
        <f>'Energy and Water'!E17</f>
        <v>0</v>
      </c>
      <c r="C387" s="8">
        <f>'Energy and Water'!M17</f>
        <v>12</v>
      </c>
      <c r="D387" s="78">
        <f>'Energy and Water'!O17</f>
        <v>360</v>
      </c>
      <c r="E387" s="176">
        <f>'Energy and Water'!N17</f>
        <v>1.2000000000000002</v>
      </c>
      <c r="F387" s="177">
        <f>'Energy and Water'!P17</f>
        <v>36</v>
      </c>
      <c r="G387" s="177">
        <f>'Energy and Water'!Q17</f>
        <v>360</v>
      </c>
      <c r="N387" s="152" t="s">
        <v>684</v>
      </c>
      <c r="O387" s="154" t="s">
        <v>685</v>
      </c>
      <c r="P387" s="154" t="s">
        <v>686</v>
      </c>
      <c r="Q387" s="154" t="s">
        <v>687</v>
      </c>
      <c r="R387" s="154" t="s">
        <v>688</v>
      </c>
      <c r="S387" s="154" t="s">
        <v>689</v>
      </c>
      <c r="T387" s="154" t="s">
        <v>690</v>
      </c>
      <c r="U387" s="154" t="s">
        <v>691</v>
      </c>
      <c r="V387" s="154" t="s">
        <v>692</v>
      </c>
    </row>
    <row r="388" spans="1:26" ht="12.3">
      <c r="A388" s="19">
        <f>'Energy and Water'!B18</f>
        <v>0</v>
      </c>
      <c r="B388" s="175">
        <f>'Energy and Water'!E18</f>
        <v>0</v>
      </c>
      <c r="C388" s="8">
        <f>'Energy and Water'!M18</f>
        <v>0</v>
      </c>
      <c r="D388" s="78">
        <f>'Energy and Water'!O18</f>
        <v>0</v>
      </c>
      <c r="E388" s="176">
        <f>'Energy and Water'!N18</f>
        <v>0</v>
      </c>
      <c r="F388" s="177">
        <f>'Energy and Water'!P18</f>
        <v>0</v>
      </c>
      <c r="G388" s="177">
        <f>'Energy and Water'!Q18</f>
        <v>0</v>
      </c>
      <c r="N388" s="178" t="s">
        <v>693</v>
      </c>
      <c r="O388" s="51" t="e">
        <f>'Plant &amp; Fish Production'!#REF!</f>
        <v>#REF!</v>
      </c>
      <c r="P388" s="51">
        <f>'Plant &amp; Fish Production'!C17</f>
        <v>4480</v>
      </c>
      <c r="Q388" s="51">
        <f>Scenarios!D9</f>
        <v>52416</v>
      </c>
      <c r="R388" s="51">
        <f>Scenarios!D11</f>
        <v>41932.800000000003</v>
      </c>
      <c r="S388" s="51">
        <f>Scenarios!D12</f>
        <v>34944</v>
      </c>
      <c r="T388" s="51">
        <f>'Plant &amp; Fish Production'!J96</f>
        <v>156</v>
      </c>
      <c r="U388" s="51" t="str">
        <f>'REV &amp; COGS'!D10</f>
        <v/>
      </c>
      <c r="V388" s="162">
        <f>P384</f>
        <v>500</v>
      </c>
    </row>
    <row r="389" spans="1:26" ht="12.3">
      <c r="A389" s="19">
        <f>'Energy and Water'!B19</f>
        <v>0</v>
      </c>
      <c r="B389" s="175">
        <f>'Energy and Water'!E19</f>
        <v>0</v>
      </c>
      <c r="C389" s="8">
        <f>'Energy and Water'!M19</f>
        <v>0</v>
      </c>
      <c r="D389" s="78">
        <f>'Energy and Water'!O19</f>
        <v>0</v>
      </c>
      <c r="E389" s="176">
        <f>'Energy and Water'!N19</f>
        <v>0</v>
      </c>
      <c r="F389" s="177">
        <f>'Energy and Water'!P19</f>
        <v>0</v>
      </c>
      <c r="G389" s="177">
        <f>'Energy and Water'!Q19</f>
        <v>0</v>
      </c>
    </row>
    <row r="390" spans="1:26" ht="12.3">
      <c r="A390" s="19">
        <f>'Energy and Water'!B20</f>
        <v>0</v>
      </c>
      <c r="B390" s="175">
        <f>'Energy and Water'!E20</f>
        <v>0</v>
      </c>
      <c r="C390" s="8">
        <f>'Energy and Water'!M20</f>
        <v>0</v>
      </c>
      <c r="D390" s="78">
        <f>'Energy and Water'!O20</f>
        <v>0</v>
      </c>
      <c r="E390" s="176">
        <f>'Energy and Water'!N20</f>
        <v>0</v>
      </c>
      <c r="F390" s="177">
        <f>'Energy and Water'!P20</f>
        <v>0</v>
      </c>
      <c r="G390" s="177">
        <f>'Energy and Water'!Q20</f>
        <v>0</v>
      </c>
      <c r="N390" s="146" t="s">
        <v>681</v>
      </c>
      <c r="O390" s="147"/>
      <c r="R390" s="112"/>
    </row>
    <row r="391" spans="1:26" ht="12.3">
      <c r="A391" s="19">
        <f>'Energy and Water'!B21</f>
        <v>0</v>
      </c>
      <c r="B391" s="175">
        <f>'Energy and Water'!E21</f>
        <v>0</v>
      </c>
      <c r="C391" s="8">
        <f>'Energy and Water'!M21</f>
        <v>0</v>
      </c>
      <c r="D391" s="78">
        <f>'Energy and Water'!O21</f>
        <v>0</v>
      </c>
      <c r="E391" s="176">
        <f>'Energy and Water'!N21</f>
        <v>0</v>
      </c>
      <c r="F391" s="177">
        <f>'Energy and Water'!P21</f>
        <v>0</v>
      </c>
      <c r="G391" s="177">
        <f>'Energy and Water'!Q21</f>
        <v>0</v>
      </c>
      <c r="N391" s="74" t="s">
        <v>3</v>
      </c>
      <c r="O391" s="75" t="s">
        <v>4</v>
      </c>
      <c r="P391" s="34" t="s">
        <v>222</v>
      </c>
      <c r="Q391" s="34" t="s">
        <v>694</v>
      </c>
      <c r="R391" s="179"/>
    </row>
    <row r="392" spans="1:26" ht="12.3">
      <c r="A392" s="19">
        <f>'Energy and Water'!B22</f>
        <v>0</v>
      </c>
      <c r="B392" s="175">
        <f>'Energy and Water'!E22</f>
        <v>0</v>
      </c>
      <c r="C392" s="8">
        <f>'Energy and Water'!M22</f>
        <v>0</v>
      </c>
      <c r="D392" s="78">
        <f>'Energy and Water'!O22</f>
        <v>0</v>
      </c>
      <c r="E392" s="176">
        <f>'Energy and Water'!N22</f>
        <v>0</v>
      </c>
      <c r="F392" s="177">
        <f>'Energy and Water'!P22</f>
        <v>0</v>
      </c>
      <c r="G392" s="177">
        <f>'Energy and Water'!Q22</f>
        <v>0</v>
      </c>
      <c r="N392" s="10" t="s">
        <v>9</v>
      </c>
      <c r="O392" s="42">
        <f>Scenarios!D11</f>
        <v>41932.800000000003</v>
      </c>
      <c r="P392" s="42">
        <f>O392/12</f>
        <v>3494.4</v>
      </c>
      <c r="Q392" s="42">
        <f>O392/52</f>
        <v>806.40000000000009</v>
      </c>
      <c r="R392" s="179"/>
    </row>
    <row r="393" spans="1:26" ht="12.3">
      <c r="A393" s="19">
        <f>'Energy and Water'!B23</f>
        <v>0</v>
      </c>
      <c r="B393" s="175">
        <f>'Energy and Water'!E23</f>
        <v>0</v>
      </c>
      <c r="C393" s="8">
        <f>'Energy and Water'!M23</f>
        <v>0</v>
      </c>
      <c r="D393" s="78">
        <f>'Energy and Water'!O23</f>
        <v>0</v>
      </c>
      <c r="E393" s="176">
        <f>'Energy and Water'!N23</f>
        <v>0</v>
      </c>
      <c r="F393" s="177">
        <f>'Energy and Water'!P23</f>
        <v>0</v>
      </c>
      <c r="G393" s="177">
        <f>'Energy and Water'!Q23</f>
        <v>0</v>
      </c>
      <c r="N393" s="10" t="s">
        <v>11</v>
      </c>
      <c r="O393" s="42">
        <f>'Plant &amp; Fish Production'!N79+'Plant &amp; Fish Production'!N61</f>
        <v>0</v>
      </c>
      <c r="P393" s="42">
        <f>O393/12</f>
        <v>0</v>
      </c>
      <c r="Q393" s="42">
        <f>O393/52</f>
        <v>0</v>
      </c>
      <c r="R393" s="179"/>
    </row>
    <row r="394" spans="1:26" ht="12.3">
      <c r="A394" s="19">
        <f>'Energy and Water'!B24</f>
        <v>0</v>
      </c>
      <c r="B394" s="175">
        <f>'Energy and Water'!E24</f>
        <v>0</v>
      </c>
      <c r="C394" s="8">
        <f>'Energy and Water'!M24</f>
        <v>0</v>
      </c>
      <c r="D394" s="78">
        <f>'Energy and Water'!O24</f>
        <v>0</v>
      </c>
      <c r="E394" s="176">
        <f>'Energy and Water'!N24</f>
        <v>0</v>
      </c>
      <c r="F394" s="177">
        <f>'Energy and Water'!P24</f>
        <v>0</v>
      </c>
      <c r="G394" s="177">
        <f>'Energy and Water'!Q24</f>
        <v>0</v>
      </c>
      <c r="N394" s="10" t="s">
        <v>13</v>
      </c>
      <c r="O394" s="42">
        <f>'Plant &amp; Fish Production'!J96</f>
        <v>156</v>
      </c>
      <c r="P394" s="42">
        <f>O394/12</f>
        <v>13</v>
      </c>
      <c r="Q394" s="42">
        <f>O394/52</f>
        <v>3</v>
      </c>
      <c r="R394" s="179"/>
    </row>
    <row r="395" spans="1:26" ht="12.3">
      <c r="A395" s="17"/>
      <c r="B395" s="180" t="s">
        <v>443</v>
      </c>
      <c r="C395" s="164">
        <f>'Energy and Water'!M26</f>
        <v>12</v>
      </c>
      <c r="D395" s="79">
        <f>'Energy and Water'!O26</f>
        <v>360</v>
      </c>
      <c r="E395" s="181">
        <f>'Energy and Water'!N26</f>
        <v>1.2000000000000002</v>
      </c>
      <c r="F395" s="114">
        <f>'Energy and Water'!P26</f>
        <v>36</v>
      </c>
      <c r="G395" s="114">
        <f>'Energy and Water'!Q26</f>
        <v>360</v>
      </c>
      <c r="N395" s="10" t="s">
        <v>24</v>
      </c>
      <c r="O395" s="42" t="str">
        <f>'Plant &amp; Fish Production'!C73</f>
        <v/>
      </c>
      <c r="P395" s="42" t="e">
        <f>O395/12</f>
        <v>#VALUE!</v>
      </c>
      <c r="Q395" s="42" t="e">
        <f>O395/52</f>
        <v>#VALUE!</v>
      </c>
    </row>
    <row r="397" spans="1:26" ht="12.3">
      <c r="B397" s="13" t="s">
        <v>695</v>
      </c>
    </row>
    <row r="398" spans="1:26" ht="36.9">
      <c r="A398" s="87" t="str">
        <f>'Energy and Water'!B28</f>
        <v>Units</v>
      </c>
      <c r="B398" s="87" t="str">
        <f>'Energy and Water'!E28</f>
        <v>Equipment Usage</v>
      </c>
      <c r="C398" s="88" t="str">
        <f>'Energy and Water'!G28</f>
        <v>volts</v>
      </c>
      <c r="D398" s="88" t="str">
        <f>'Energy and Water'!H28</f>
        <v>amps</v>
      </c>
      <c r="E398" s="88" t="str">
        <f>'Energy and Water'!J28</f>
        <v>Running watts per unit</v>
      </c>
      <c r="F398" s="88" t="str">
        <f>'Energy and Water'!K28</f>
        <v>total watts</v>
      </c>
      <c r="G398" s="88" t="str">
        <f>'Energy and Water'!L28</f>
        <v>kWh</v>
      </c>
      <c r="H398" s="88" t="str">
        <f>'Energy and Water'!R28</f>
        <v>Op Hrs per day</v>
      </c>
      <c r="I398" s="88" t="str">
        <f>'Energy and Water'!S28</f>
        <v>Op Days per week</v>
      </c>
      <c r="J398" s="151" t="s">
        <v>682</v>
      </c>
    </row>
    <row r="399" spans="1:26" ht="12.3">
      <c r="A399" s="19">
        <f>'Energy and Water'!B30</f>
        <v>0</v>
      </c>
      <c r="B399" s="10">
        <f>'Energy and Water'!E30</f>
        <v>0</v>
      </c>
      <c r="C399" s="19">
        <f>'Energy and Water'!G30</f>
        <v>0</v>
      </c>
      <c r="D399" s="8" t="str">
        <f>'Energy and Water'!H30</f>
        <v/>
      </c>
      <c r="E399" s="19">
        <f>'Energy and Water'!J30</f>
        <v>0</v>
      </c>
      <c r="F399" s="19">
        <f>'Energy and Water'!K30</f>
        <v>0</v>
      </c>
      <c r="G399" s="8">
        <f>'Energy and Water'!L30</f>
        <v>0</v>
      </c>
      <c r="H399" s="19">
        <f>'Energy and Water'!R30</f>
        <v>0</v>
      </c>
      <c r="I399" s="19">
        <f>'Energy and Water'!S30</f>
        <v>0</v>
      </c>
      <c r="J399" s="14">
        <f>SUM('Energy and Water'!T30:AE30)</f>
        <v>0</v>
      </c>
    </row>
    <row r="400" spans="1:26" ht="12.3">
      <c r="A400" s="19">
        <f>'Energy and Water'!B31</f>
        <v>0</v>
      </c>
      <c r="B400" s="10">
        <f>'Energy and Water'!E31</f>
        <v>0</v>
      </c>
      <c r="C400" s="19">
        <f>'Energy and Water'!G31</f>
        <v>0</v>
      </c>
      <c r="D400" s="8" t="str">
        <f>'Energy and Water'!H31</f>
        <v/>
      </c>
      <c r="E400" s="19">
        <f>'Energy and Water'!J31</f>
        <v>0</v>
      </c>
      <c r="F400" s="19">
        <f>'Energy and Water'!K31</f>
        <v>0</v>
      </c>
      <c r="G400" s="8">
        <f>'Energy and Water'!L31</f>
        <v>0</v>
      </c>
      <c r="H400" s="19">
        <f>'Energy and Water'!R31</f>
        <v>0</v>
      </c>
      <c r="I400" s="19">
        <f>'Energy and Water'!S31</f>
        <v>0</v>
      </c>
      <c r="J400" s="14">
        <f>SUM('Energy and Water'!T31:AE31)</f>
        <v>0</v>
      </c>
    </row>
    <row r="401" spans="1:10" ht="12.3">
      <c r="A401" s="19">
        <f>'Energy and Water'!B32</f>
        <v>0</v>
      </c>
      <c r="B401" s="10">
        <f>'Energy and Water'!E32</f>
        <v>0</v>
      </c>
      <c r="C401" s="19">
        <f>'Energy and Water'!G32</f>
        <v>0</v>
      </c>
      <c r="D401" s="8" t="str">
        <f>'Energy and Water'!H32</f>
        <v/>
      </c>
      <c r="E401" s="19">
        <f>'Energy and Water'!J32</f>
        <v>0</v>
      </c>
      <c r="F401" s="19">
        <f>'Energy and Water'!K32</f>
        <v>0</v>
      </c>
      <c r="G401" s="8">
        <f>'Energy and Water'!L32</f>
        <v>0</v>
      </c>
      <c r="H401" s="19">
        <f>'Energy and Water'!R32</f>
        <v>0</v>
      </c>
      <c r="I401" s="19">
        <f>'Energy and Water'!S32</f>
        <v>0</v>
      </c>
      <c r="J401" s="14">
        <f>SUM('Energy and Water'!T32:AE32)</f>
        <v>0</v>
      </c>
    </row>
    <row r="402" spans="1:10" ht="12.3">
      <c r="A402" s="19">
        <f>'Energy and Water'!B33</f>
        <v>0</v>
      </c>
      <c r="B402" s="10">
        <f>'Energy and Water'!E33</f>
        <v>0</v>
      </c>
      <c r="C402" s="19">
        <f>'Energy and Water'!G33</f>
        <v>0</v>
      </c>
      <c r="D402" s="8" t="str">
        <f>'Energy and Water'!H33</f>
        <v/>
      </c>
      <c r="E402" s="19">
        <f>'Energy and Water'!J33</f>
        <v>0</v>
      </c>
      <c r="F402" s="19">
        <f>'Energy and Water'!K33</f>
        <v>0</v>
      </c>
      <c r="G402" s="8">
        <f>'Energy and Water'!L33</f>
        <v>0</v>
      </c>
      <c r="H402" s="19">
        <f>'Energy and Water'!R33</f>
        <v>0</v>
      </c>
      <c r="I402" s="19">
        <f>'Energy and Water'!S33</f>
        <v>0</v>
      </c>
      <c r="J402" s="14">
        <f>SUM('Energy and Water'!T33:AE33)</f>
        <v>0</v>
      </c>
    </row>
    <row r="403" spans="1:10" ht="12.3">
      <c r="A403" s="19">
        <f>'Energy and Water'!B34</f>
        <v>0</v>
      </c>
      <c r="B403" s="10">
        <f>'Energy and Water'!E34</f>
        <v>0</v>
      </c>
      <c r="C403" s="19">
        <f>'Energy and Water'!G34</f>
        <v>0</v>
      </c>
      <c r="D403" s="8" t="str">
        <f>'Energy and Water'!H34</f>
        <v/>
      </c>
      <c r="E403" s="19">
        <f>'Energy and Water'!J34</f>
        <v>0</v>
      </c>
      <c r="F403" s="19">
        <f>'Energy and Water'!K34</f>
        <v>0</v>
      </c>
      <c r="G403" s="8">
        <f>'Energy and Water'!L34</f>
        <v>0</v>
      </c>
      <c r="H403" s="19">
        <f>'Energy and Water'!R34</f>
        <v>0</v>
      </c>
      <c r="I403" s="19">
        <f>'Energy and Water'!S34</f>
        <v>0</v>
      </c>
      <c r="J403" s="14">
        <f>SUM('Energy and Water'!T34:AE34)</f>
        <v>0</v>
      </c>
    </row>
    <row r="404" spans="1:10" ht="12.3">
      <c r="A404" s="19">
        <f>'Energy and Water'!B35</f>
        <v>0</v>
      </c>
      <c r="B404" s="10">
        <f>'Energy and Water'!E35</f>
        <v>0</v>
      </c>
      <c r="C404" s="19">
        <f>'Energy and Water'!G35</f>
        <v>0</v>
      </c>
      <c r="D404" s="8" t="str">
        <f>'Energy and Water'!H35</f>
        <v/>
      </c>
      <c r="E404" s="19">
        <f>'Energy and Water'!J35</f>
        <v>0</v>
      </c>
      <c r="F404" s="19">
        <f>'Energy and Water'!K35</f>
        <v>0</v>
      </c>
      <c r="G404" s="8">
        <f>'Energy and Water'!L35</f>
        <v>0</v>
      </c>
      <c r="H404" s="19">
        <f>'Energy and Water'!R35</f>
        <v>0</v>
      </c>
      <c r="I404" s="19">
        <f>'Energy and Water'!S35</f>
        <v>0</v>
      </c>
      <c r="J404" s="14">
        <f>SUM('Energy and Water'!T35:AE35)</f>
        <v>0</v>
      </c>
    </row>
    <row r="405" spans="1:10" ht="12.3">
      <c r="A405" s="19">
        <f>'Energy and Water'!B36</f>
        <v>0</v>
      </c>
      <c r="B405" s="10">
        <f>'Energy and Water'!E36</f>
        <v>0</v>
      </c>
      <c r="C405" s="19">
        <f>'Energy and Water'!G36</f>
        <v>0</v>
      </c>
      <c r="D405" s="8" t="str">
        <f>'Energy and Water'!H36</f>
        <v/>
      </c>
      <c r="E405" s="19">
        <f>'Energy and Water'!J36</f>
        <v>0</v>
      </c>
      <c r="F405" s="19">
        <f>'Energy and Water'!K36</f>
        <v>0</v>
      </c>
      <c r="G405" s="8">
        <f>'Energy and Water'!L36</f>
        <v>0</v>
      </c>
      <c r="H405" s="19">
        <f>'Energy and Water'!R36</f>
        <v>0</v>
      </c>
      <c r="I405" s="19">
        <f>'Energy and Water'!S36</f>
        <v>0</v>
      </c>
      <c r="J405" s="14">
        <f>SUM('Energy and Water'!T36:AE36)</f>
        <v>0</v>
      </c>
    </row>
    <row r="406" spans="1:10" ht="12.3">
      <c r="A406" s="19">
        <f>'Energy and Water'!B37</f>
        <v>0</v>
      </c>
      <c r="B406" s="10">
        <f>'Energy and Water'!E37</f>
        <v>0</v>
      </c>
      <c r="C406" s="19">
        <f>'Energy and Water'!G37</f>
        <v>0</v>
      </c>
      <c r="D406" s="8" t="str">
        <f>'Energy and Water'!H37</f>
        <v/>
      </c>
      <c r="E406" s="19">
        <f>'Energy and Water'!J37</f>
        <v>0</v>
      </c>
      <c r="F406" s="19">
        <f>'Energy and Water'!K37</f>
        <v>0</v>
      </c>
      <c r="G406" s="8">
        <f>'Energy and Water'!L37</f>
        <v>0</v>
      </c>
      <c r="H406" s="19">
        <f>'Energy and Water'!R37</f>
        <v>0</v>
      </c>
      <c r="I406" s="19">
        <f>'Energy and Water'!S37</f>
        <v>0</v>
      </c>
      <c r="J406" s="14">
        <f>SUM('Energy and Water'!T37:AE37)</f>
        <v>0</v>
      </c>
    </row>
    <row r="407" spans="1:10" ht="12.3">
      <c r="A407" s="19">
        <f>'Energy and Water'!B38</f>
        <v>0</v>
      </c>
      <c r="B407" s="10">
        <f>'Energy and Water'!E38</f>
        <v>0</v>
      </c>
      <c r="C407" s="19">
        <f>'Energy and Water'!G38</f>
        <v>0</v>
      </c>
      <c r="D407" s="8" t="str">
        <f>'Energy and Water'!H38</f>
        <v/>
      </c>
      <c r="E407" s="19">
        <f>'Energy and Water'!J38</f>
        <v>0</v>
      </c>
      <c r="F407" s="19">
        <f>'Energy and Water'!K38</f>
        <v>0</v>
      </c>
      <c r="G407" s="8">
        <f>'Energy and Water'!L38</f>
        <v>0</v>
      </c>
      <c r="H407" s="19">
        <f>'Energy and Water'!R38</f>
        <v>0</v>
      </c>
      <c r="I407" s="19">
        <f>'Energy and Water'!S38</f>
        <v>0</v>
      </c>
      <c r="J407" s="14">
        <f>SUM('Energy and Water'!T38:AE38)</f>
        <v>0</v>
      </c>
    </row>
    <row r="408" spans="1:10" ht="12.3">
      <c r="A408" s="17">
        <f>'Energy and Water'!B39</f>
        <v>0</v>
      </c>
      <c r="B408" s="68" t="str">
        <f>'Energy and Water'!E39</f>
        <v>Totals</v>
      </c>
      <c r="C408" s="70">
        <f>'Energy and Water'!G39</f>
        <v>0</v>
      </c>
      <c r="D408" s="70">
        <f>'Energy and Water'!H39</f>
        <v>0</v>
      </c>
      <c r="E408" s="70">
        <f>'Energy and Water'!J39</f>
        <v>0</v>
      </c>
      <c r="F408" s="38">
        <f>'Energy and Water'!K39</f>
        <v>0</v>
      </c>
      <c r="G408" s="164">
        <f>'Energy and Water'!L39</f>
        <v>0</v>
      </c>
      <c r="H408" s="70">
        <f>'Energy and Water'!R39</f>
        <v>0</v>
      </c>
      <c r="I408" s="70">
        <f>'Energy and Water'!S39</f>
        <v>0</v>
      </c>
      <c r="J408" s="70"/>
    </row>
    <row r="410" spans="1:10" ht="12.3">
      <c r="B410" s="13" t="s">
        <v>696</v>
      </c>
    </row>
    <row r="411" spans="1:10" ht="24.6">
      <c r="A411" s="87" t="str">
        <f>'Energy and Water'!B28</f>
        <v>Units</v>
      </c>
      <c r="B411" s="172" t="str">
        <f>'Energy and Water'!E28</f>
        <v>Equipment Usage</v>
      </c>
      <c r="C411" s="151" t="str">
        <f>'Energy and Water'!M28</f>
        <v>Daily kWh</v>
      </c>
      <c r="D411" s="173" t="str">
        <f>'Energy and Water'!O28</f>
        <v>Monthly kWh</v>
      </c>
      <c r="E411" s="174" t="str">
        <f>'Energy and Water'!N28</f>
        <v>Cost per day</v>
      </c>
      <c r="F411" s="88" t="str">
        <f>'Energy and Water'!P28</f>
        <v>Cost Per month</v>
      </c>
      <c r="G411" s="88" t="str">
        <f>'Energy and Water'!Q28</f>
        <v>Cost Per year</v>
      </c>
    </row>
    <row r="412" spans="1:10" ht="12.3">
      <c r="A412" s="19">
        <f>'Energy and Water'!B30</f>
        <v>0</v>
      </c>
      <c r="B412" s="175">
        <f>'Energy and Water'!E30</f>
        <v>0</v>
      </c>
      <c r="C412" s="8">
        <f>'Energy and Water'!M30</f>
        <v>0</v>
      </c>
      <c r="D412" s="78">
        <f>'Energy and Water'!O30</f>
        <v>0</v>
      </c>
      <c r="E412" s="176">
        <f>'Energy and Water'!N30</f>
        <v>0</v>
      </c>
      <c r="F412" s="177">
        <f>'Energy and Water'!P30</f>
        <v>0</v>
      </c>
      <c r="G412" s="177">
        <f>'Energy and Water'!Q30</f>
        <v>0</v>
      </c>
    </row>
    <row r="413" spans="1:10" ht="12.3">
      <c r="A413" s="19">
        <f>'Energy and Water'!B31</f>
        <v>0</v>
      </c>
      <c r="B413" s="175">
        <f>'Energy and Water'!E31</f>
        <v>0</v>
      </c>
      <c r="C413" s="8">
        <f>'Energy and Water'!M31</f>
        <v>0</v>
      </c>
      <c r="D413" s="78">
        <f>'Energy and Water'!O31</f>
        <v>0</v>
      </c>
      <c r="E413" s="176">
        <f>'Energy and Water'!N31</f>
        <v>0</v>
      </c>
      <c r="F413" s="177">
        <f>'Energy and Water'!P31</f>
        <v>0</v>
      </c>
      <c r="G413" s="177">
        <f>'Energy and Water'!Q31</f>
        <v>0</v>
      </c>
    </row>
    <row r="414" spans="1:10" ht="12.3">
      <c r="A414" s="19">
        <f>'Energy and Water'!B32</f>
        <v>0</v>
      </c>
      <c r="B414" s="175">
        <f>'Energy and Water'!E32</f>
        <v>0</v>
      </c>
      <c r="C414" s="8">
        <f>'Energy and Water'!M32</f>
        <v>0</v>
      </c>
      <c r="D414" s="78">
        <f>'Energy and Water'!O32</f>
        <v>0</v>
      </c>
      <c r="E414" s="176">
        <f>'Energy and Water'!N32</f>
        <v>0</v>
      </c>
      <c r="F414" s="177">
        <f>'Energy and Water'!P32</f>
        <v>0</v>
      </c>
      <c r="G414" s="177">
        <f>'Energy and Water'!Q32</f>
        <v>0</v>
      </c>
    </row>
    <row r="415" spans="1:10" ht="12.3">
      <c r="A415" s="19">
        <f>'Energy and Water'!B33</f>
        <v>0</v>
      </c>
      <c r="B415" s="175">
        <f>'Energy and Water'!E33</f>
        <v>0</v>
      </c>
      <c r="C415" s="8">
        <f>'Energy and Water'!M33</f>
        <v>0</v>
      </c>
      <c r="D415" s="78">
        <f>'Energy and Water'!O33</f>
        <v>0</v>
      </c>
      <c r="E415" s="176">
        <f>'Energy and Water'!N33</f>
        <v>0</v>
      </c>
      <c r="F415" s="177">
        <f>'Energy and Water'!P33</f>
        <v>0</v>
      </c>
      <c r="G415" s="177">
        <f>'Energy and Water'!Q33</f>
        <v>0</v>
      </c>
    </row>
    <row r="416" spans="1:10" ht="12.3">
      <c r="A416" s="19">
        <f>'Energy and Water'!B34</f>
        <v>0</v>
      </c>
      <c r="B416" s="175">
        <f>'Energy and Water'!E34</f>
        <v>0</v>
      </c>
      <c r="C416" s="8">
        <f>'Energy and Water'!M34</f>
        <v>0</v>
      </c>
      <c r="D416" s="78">
        <f>'Energy and Water'!O34</f>
        <v>0</v>
      </c>
      <c r="E416" s="176">
        <f>'Energy and Water'!N34</f>
        <v>0</v>
      </c>
      <c r="F416" s="177">
        <f>'Energy and Water'!P34</f>
        <v>0</v>
      </c>
      <c r="G416" s="177">
        <f>'Energy and Water'!Q34</f>
        <v>0</v>
      </c>
    </row>
    <row r="417" spans="1:26" ht="12.3">
      <c r="A417" s="19">
        <f>'Energy and Water'!B35</f>
        <v>0</v>
      </c>
      <c r="B417" s="175">
        <f>'Energy and Water'!E35</f>
        <v>0</v>
      </c>
      <c r="C417" s="8">
        <f>'Energy and Water'!M35</f>
        <v>0</v>
      </c>
      <c r="D417" s="78">
        <f>'Energy and Water'!O35</f>
        <v>0</v>
      </c>
      <c r="E417" s="176">
        <f>'Energy and Water'!N35</f>
        <v>0</v>
      </c>
      <c r="F417" s="177">
        <f>'Energy and Water'!P35</f>
        <v>0</v>
      </c>
      <c r="G417" s="177">
        <f>'Energy and Water'!Q35</f>
        <v>0</v>
      </c>
    </row>
    <row r="418" spans="1:26" ht="12.3">
      <c r="A418" s="19">
        <f>'Energy and Water'!B36</f>
        <v>0</v>
      </c>
      <c r="B418" s="175">
        <f>'Energy and Water'!E36</f>
        <v>0</v>
      </c>
      <c r="C418" s="8">
        <f>'Energy and Water'!M36</f>
        <v>0</v>
      </c>
      <c r="D418" s="78">
        <f>'Energy and Water'!O36</f>
        <v>0</v>
      </c>
      <c r="E418" s="176">
        <f>'Energy and Water'!N36</f>
        <v>0</v>
      </c>
      <c r="F418" s="177">
        <f>'Energy and Water'!P36</f>
        <v>0</v>
      </c>
      <c r="G418" s="177">
        <f>'Energy and Water'!Q36</f>
        <v>0</v>
      </c>
    </row>
    <row r="419" spans="1:26" ht="12.3">
      <c r="A419" s="19">
        <f>'Energy and Water'!B37</f>
        <v>0</v>
      </c>
      <c r="B419" s="10">
        <f>'Energy and Water'!E37</f>
        <v>0</v>
      </c>
      <c r="C419" s="8">
        <f>'Energy and Water'!M37</f>
        <v>0</v>
      </c>
      <c r="D419" s="78">
        <f>'Energy and Water'!O37</f>
        <v>0</v>
      </c>
      <c r="E419" s="177">
        <f>'Energy and Water'!N37</f>
        <v>0</v>
      </c>
      <c r="F419" s="177">
        <f>'Energy and Water'!P37</f>
        <v>0</v>
      </c>
      <c r="G419" s="177">
        <f>'Energy and Water'!Q37</f>
        <v>0</v>
      </c>
    </row>
    <row r="420" spans="1:26" ht="12.3">
      <c r="A420" s="19">
        <f>'Energy and Water'!B38</f>
        <v>0</v>
      </c>
      <c r="B420" s="10">
        <f>'Energy and Water'!E38</f>
        <v>0</v>
      </c>
      <c r="C420" s="8">
        <f>'Energy and Water'!M38</f>
        <v>0</v>
      </c>
      <c r="D420" s="78">
        <f>'Energy and Water'!O38</f>
        <v>0</v>
      </c>
      <c r="E420" s="177">
        <f>'Energy and Water'!N38</f>
        <v>0</v>
      </c>
      <c r="F420" s="177">
        <f>'Energy and Water'!P38</f>
        <v>0</v>
      </c>
      <c r="G420" s="177">
        <f>'Energy and Water'!Q38</f>
        <v>0</v>
      </c>
    </row>
    <row r="421" spans="1:26" ht="12.3">
      <c r="A421" s="17"/>
      <c r="B421" s="68" t="str">
        <f>'Energy and Water'!E39</f>
        <v>Totals</v>
      </c>
      <c r="C421" s="164">
        <f>'Energy and Water'!M39</f>
        <v>0</v>
      </c>
      <c r="D421" s="79">
        <f>'Energy and Water'!O39</f>
        <v>0</v>
      </c>
      <c r="E421" s="114">
        <f>'Energy and Water'!N39</f>
        <v>0</v>
      </c>
      <c r="F421" s="114">
        <f>'Energy and Water'!P39</f>
        <v>0</v>
      </c>
      <c r="G421" s="114">
        <f>'Energy and Water'!Q39</f>
        <v>0</v>
      </c>
    </row>
    <row r="423" spans="1:26" ht="12.3">
      <c r="B423" s="13" t="s">
        <v>697</v>
      </c>
    </row>
    <row r="424" spans="1:26" ht="12.3">
      <c r="A424" s="136" t="str">
        <f>'Energy and Water'!B41</f>
        <v>Units</v>
      </c>
      <c r="B424" s="182" t="str">
        <f>'Energy and Water'!E41</f>
        <v>Equipment Usage</v>
      </c>
      <c r="C424" s="137" t="str">
        <f>'Energy and Water'!G41</f>
        <v>volts</v>
      </c>
      <c r="D424" s="137" t="str">
        <f>'Energy and Water'!H41</f>
        <v>amps</v>
      </c>
      <c r="E424" s="137" t="str">
        <f>'Energy and Water'!J41</f>
        <v>Running watts per unit</v>
      </c>
      <c r="F424" s="137" t="str">
        <f>'Energy and Water'!K41</f>
        <v>total watts</v>
      </c>
      <c r="G424" s="137" t="str">
        <f>'Energy and Water'!L41</f>
        <v>kWh</v>
      </c>
      <c r="H424" s="137" t="str">
        <f>'Energy and Water'!R41</f>
        <v>Op Hrs per day</v>
      </c>
      <c r="I424" s="137" t="str">
        <f>'Energy and Water'!S41</f>
        <v>Op Days per week</v>
      </c>
      <c r="J424" s="183" t="s">
        <v>682</v>
      </c>
    </row>
    <row r="425" spans="1:26" ht="12.3">
      <c r="A425" s="19">
        <f>'Energy and Water'!B43</f>
        <v>0</v>
      </c>
      <c r="B425" s="4">
        <f>'Energy and Water'!E43</f>
        <v>0</v>
      </c>
      <c r="C425" s="19">
        <f>'Energy and Water'!G43</f>
        <v>0</v>
      </c>
      <c r="D425" s="8" t="str">
        <f>'Energy and Water'!H43</f>
        <v/>
      </c>
      <c r="E425" s="19">
        <f>'Energy and Water'!J43</f>
        <v>0</v>
      </c>
      <c r="F425" s="19">
        <f>'Energy and Water'!K43</f>
        <v>0</v>
      </c>
      <c r="G425" s="8">
        <f>'Energy and Water'!L43</f>
        <v>0</v>
      </c>
      <c r="H425" s="19">
        <f>'Energy and Water'!R43</f>
        <v>0</v>
      </c>
      <c r="I425" s="19">
        <f>'Energy and Water'!S43</f>
        <v>0</v>
      </c>
      <c r="J425" s="184">
        <v>5</v>
      </c>
    </row>
    <row r="426" spans="1:26" ht="12.3">
      <c r="A426" s="19">
        <f>'Energy and Water'!B44</f>
        <v>0</v>
      </c>
      <c r="B426" s="4">
        <f>'Energy and Water'!E44</f>
        <v>0</v>
      </c>
      <c r="C426" s="19">
        <f>'Energy and Water'!G44</f>
        <v>0</v>
      </c>
      <c r="D426" s="8" t="str">
        <f>'Energy and Water'!H44</f>
        <v/>
      </c>
      <c r="E426" s="19">
        <f>'Energy and Water'!J44</f>
        <v>0</v>
      </c>
      <c r="F426" s="19">
        <f>'Energy and Water'!K44</f>
        <v>0</v>
      </c>
      <c r="G426" s="8">
        <f>'Energy and Water'!L44</f>
        <v>0</v>
      </c>
      <c r="H426" s="19">
        <f>'Energy and Water'!R44</f>
        <v>0</v>
      </c>
      <c r="I426" s="19">
        <f>'Energy and Water'!S44</f>
        <v>0</v>
      </c>
      <c r="J426" s="184">
        <v>5</v>
      </c>
    </row>
    <row r="427" spans="1:26" ht="12.3">
      <c r="A427" s="19">
        <f>'Energy and Water'!B45</f>
        <v>0</v>
      </c>
      <c r="B427" s="4">
        <f>'Energy and Water'!E45</f>
        <v>0</v>
      </c>
      <c r="C427" s="19">
        <f>'Energy and Water'!G45</f>
        <v>0</v>
      </c>
      <c r="D427" s="8" t="str">
        <f>'Energy and Water'!H45</f>
        <v/>
      </c>
      <c r="E427" s="19">
        <f>'Energy and Water'!J45</f>
        <v>0</v>
      </c>
      <c r="F427" s="19">
        <f>'Energy and Water'!K45</f>
        <v>0</v>
      </c>
      <c r="G427" s="8">
        <f>'Energy and Water'!L45</f>
        <v>0</v>
      </c>
      <c r="H427" s="19">
        <f>'Energy and Water'!R45</f>
        <v>0</v>
      </c>
      <c r="I427" s="19">
        <f>'Energy and Water'!S45</f>
        <v>0</v>
      </c>
      <c r="J427" s="184">
        <v>5</v>
      </c>
    </row>
    <row r="428" spans="1:26" ht="12.3">
      <c r="A428" s="19">
        <f>'Energy and Water'!B46</f>
        <v>0</v>
      </c>
      <c r="B428" s="4">
        <f>'Energy and Water'!E46</f>
        <v>0</v>
      </c>
      <c r="C428" s="19">
        <f>'Energy and Water'!G46</f>
        <v>0</v>
      </c>
      <c r="D428" s="8" t="str">
        <f>'Energy and Water'!H46</f>
        <v/>
      </c>
      <c r="E428" s="19">
        <f>'Energy and Water'!J46</f>
        <v>0</v>
      </c>
      <c r="F428" s="19">
        <f>'Energy and Water'!K46</f>
        <v>0</v>
      </c>
      <c r="G428" s="8">
        <f>'Energy and Water'!L46</f>
        <v>0</v>
      </c>
      <c r="H428" s="19">
        <f>'Energy and Water'!R46</f>
        <v>0</v>
      </c>
      <c r="I428" s="19">
        <f>'Energy and Water'!S46</f>
        <v>0</v>
      </c>
      <c r="J428" s="184">
        <v>5</v>
      </c>
    </row>
    <row r="429" spans="1:26" ht="12.3">
      <c r="A429" s="19">
        <f>'Energy and Water'!B47</f>
        <v>0</v>
      </c>
      <c r="B429" s="4">
        <f>'Energy and Water'!E47</f>
        <v>0</v>
      </c>
      <c r="C429" s="19">
        <f>'Energy and Water'!G47</f>
        <v>0</v>
      </c>
      <c r="D429" s="185" t="str">
        <f>'Energy and Water'!H47</f>
        <v/>
      </c>
      <c r="E429" s="19">
        <f>'Energy and Water'!J47</f>
        <v>0</v>
      </c>
      <c r="F429" s="19">
        <f>'Energy and Water'!K47</f>
        <v>0</v>
      </c>
      <c r="G429" s="8">
        <f>'Energy and Water'!L47</f>
        <v>0</v>
      </c>
      <c r="H429" s="19">
        <f>'Energy and Water'!R47</f>
        <v>0</v>
      </c>
      <c r="I429" s="19">
        <f>'Energy and Water'!S47</f>
        <v>0</v>
      </c>
      <c r="J429" s="184">
        <v>5</v>
      </c>
    </row>
    <row r="430" spans="1:26" ht="12.3">
      <c r="A430" s="19">
        <f>'Energy and Water'!B48</f>
        <v>0</v>
      </c>
      <c r="B430" s="4">
        <f>'Energy and Water'!E48</f>
        <v>0</v>
      </c>
      <c r="C430" s="19">
        <f>'Energy and Water'!G48</f>
        <v>0</v>
      </c>
      <c r="D430" s="185" t="str">
        <f>'Energy and Water'!H48</f>
        <v/>
      </c>
      <c r="E430" s="19">
        <f>'Energy and Water'!J48</f>
        <v>0</v>
      </c>
      <c r="F430" s="19">
        <f>'Energy and Water'!K48</f>
        <v>48</v>
      </c>
      <c r="G430" s="8">
        <f>'Energy and Water'!L48</f>
        <v>4.8000000000000001E-2</v>
      </c>
      <c r="H430" s="19">
        <f>'Energy and Water'!R48</f>
        <v>0</v>
      </c>
      <c r="I430" s="19">
        <f>'Energy and Water'!S48</f>
        <v>0</v>
      </c>
      <c r="J430" s="184">
        <v>5</v>
      </c>
    </row>
    <row r="431" spans="1:26" ht="12.3">
      <c r="A431" s="17">
        <f>'Energy and Water'!B49</f>
        <v>0</v>
      </c>
      <c r="B431" s="21" t="str">
        <f>'Energy and Water'!E49</f>
        <v>Totals</v>
      </c>
      <c r="C431" s="70">
        <f>'Energy and Water'!G49</f>
        <v>0</v>
      </c>
      <c r="D431" s="85">
        <f>'Energy and Water'!H49</f>
        <v>0</v>
      </c>
      <c r="E431" s="85">
        <f>'Energy and Water'!J49</f>
        <v>0</v>
      </c>
      <c r="F431" s="164">
        <f>'Energy and Water'!K49</f>
        <v>48</v>
      </c>
      <c r="G431" s="164">
        <f>'Energy and Water'!L49</f>
        <v>4.8000000000000001E-2</v>
      </c>
      <c r="H431" s="70">
        <f>'Energy and Water'!R49</f>
        <v>0</v>
      </c>
      <c r="I431" s="70">
        <f>'Energy and Water'!S49</f>
        <v>0</v>
      </c>
      <c r="J431" s="70"/>
    </row>
    <row r="432" spans="1:26" ht="12.3">
      <c r="A432" s="186"/>
      <c r="B432" s="22"/>
      <c r="C432" s="41"/>
      <c r="D432" s="41"/>
      <c r="E432" s="41"/>
      <c r="F432" s="41"/>
      <c r="G432" s="41"/>
      <c r="H432" s="41"/>
      <c r="I432" s="41"/>
      <c r="J432" s="41"/>
      <c r="K432" s="3"/>
      <c r="L432" s="3"/>
      <c r="M432" s="3"/>
      <c r="N432" s="3"/>
      <c r="O432" s="3"/>
      <c r="P432" s="3"/>
      <c r="Q432" s="3"/>
      <c r="R432" s="3"/>
      <c r="S432" s="3"/>
      <c r="T432" s="3"/>
      <c r="U432" s="3"/>
      <c r="V432" s="3"/>
      <c r="W432" s="3"/>
      <c r="X432" s="3"/>
      <c r="Y432" s="3"/>
      <c r="Z432" s="3"/>
    </row>
    <row r="433" spans="1:26" ht="12.3">
      <c r="B433" s="13" t="s">
        <v>698</v>
      </c>
    </row>
    <row r="434" spans="1:26" ht="24.6">
      <c r="A434" s="87" t="str">
        <f>'Energy and Water'!B41</f>
        <v>Units</v>
      </c>
      <c r="B434" s="117" t="str">
        <f>'Energy and Water'!E41</f>
        <v>Equipment Usage</v>
      </c>
      <c r="C434" s="88" t="str">
        <f>'Energy and Water'!M41</f>
        <v>Daily kWh</v>
      </c>
      <c r="D434" s="173" t="str">
        <f>'Energy and Water'!O41</f>
        <v>Monthly kWh</v>
      </c>
      <c r="E434" s="88" t="str">
        <f>'Energy and Water'!N41</f>
        <v>Cost per day</v>
      </c>
      <c r="F434" s="88" t="str">
        <f>'Energy and Water'!P41</f>
        <v>Cost Per month</v>
      </c>
      <c r="G434" s="88" t="str">
        <f>'Energy and Water'!Q41</f>
        <v>Cost Per year</v>
      </c>
      <c r="H434" s="45"/>
      <c r="I434" s="45"/>
      <c r="J434" s="45"/>
      <c r="K434" s="45"/>
      <c r="L434" s="45"/>
      <c r="M434" s="45"/>
      <c r="N434" s="45"/>
      <c r="O434" s="45"/>
      <c r="P434" s="45"/>
      <c r="Q434" s="45"/>
      <c r="R434" s="45"/>
      <c r="S434" s="45"/>
      <c r="T434" s="45"/>
      <c r="U434" s="45"/>
      <c r="V434" s="45"/>
      <c r="W434" s="45"/>
      <c r="X434" s="45"/>
      <c r="Y434" s="45"/>
      <c r="Z434" s="45"/>
    </row>
    <row r="435" spans="1:26" ht="12.3">
      <c r="A435" s="19">
        <f>'Energy and Water'!B43</f>
        <v>0</v>
      </c>
      <c r="B435" s="4">
        <f>'Energy and Water'!E43</f>
        <v>0</v>
      </c>
      <c r="C435" s="8">
        <f>'Energy and Water'!M43</f>
        <v>0</v>
      </c>
      <c r="D435" s="78">
        <f>'Energy and Water'!O43</f>
        <v>0</v>
      </c>
      <c r="E435" s="187">
        <f>'Energy and Water'!N43</f>
        <v>0</v>
      </c>
      <c r="F435" s="187">
        <f>'Energy and Water'!P43</f>
        <v>0</v>
      </c>
      <c r="G435" s="187">
        <f>'Energy and Water'!Q43</f>
        <v>0</v>
      </c>
    </row>
    <row r="436" spans="1:26" ht="12.3">
      <c r="A436" s="19">
        <f>'Energy and Water'!B44</f>
        <v>0</v>
      </c>
      <c r="B436" s="4">
        <f>'Energy and Water'!E44</f>
        <v>0</v>
      </c>
      <c r="C436" s="8">
        <f>'Energy and Water'!M44</f>
        <v>0</v>
      </c>
      <c r="D436" s="78">
        <f>'Energy and Water'!O44</f>
        <v>0</v>
      </c>
      <c r="E436" s="187">
        <f>'Energy and Water'!N44</f>
        <v>0</v>
      </c>
      <c r="F436" s="187">
        <f>'Energy and Water'!P44</f>
        <v>0</v>
      </c>
      <c r="G436" s="187">
        <f>'Energy and Water'!Q44</f>
        <v>0</v>
      </c>
    </row>
    <row r="437" spans="1:26" ht="12.3">
      <c r="A437" s="19">
        <f>'Energy and Water'!B45</f>
        <v>0</v>
      </c>
      <c r="B437" s="4">
        <f>'Energy and Water'!E45</f>
        <v>0</v>
      </c>
      <c r="C437" s="8">
        <f>'Energy and Water'!M45</f>
        <v>0</v>
      </c>
      <c r="D437" s="78">
        <f>'Energy and Water'!O45</f>
        <v>0</v>
      </c>
      <c r="E437" s="187">
        <f>'Energy and Water'!N45</f>
        <v>0</v>
      </c>
      <c r="F437" s="187">
        <f>'Energy and Water'!P45</f>
        <v>0</v>
      </c>
      <c r="G437" s="187">
        <f>'Energy and Water'!Q45</f>
        <v>0</v>
      </c>
    </row>
    <row r="438" spans="1:26" ht="12.3">
      <c r="A438" s="19">
        <f>'Energy and Water'!B46</f>
        <v>0</v>
      </c>
      <c r="B438" s="4">
        <f>'Energy and Water'!E46</f>
        <v>0</v>
      </c>
      <c r="C438" s="8">
        <f>'Energy and Water'!M46</f>
        <v>0</v>
      </c>
      <c r="D438" s="78">
        <f>'Energy and Water'!O46</f>
        <v>0</v>
      </c>
      <c r="E438" s="187">
        <f>'Energy and Water'!N46</f>
        <v>0</v>
      </c>
      <c r="F438" s="187">
        <f>'Energy and Water'!P46</f>
        <v>0</v>
      </c>
      <c r="G438" s="187">
        <f>'Energy and Water'!Q46</f>
        <v>0</v>
      </c>
    </row>
    <row r="439" spans="1:26" ht="12.3">
      <c r="A439" s="19">
        <f>'Energy and Water'!B47</f>
        <v>0</v>
      </c>
      <c r="B439" s="4">
        <f>'Energy and Water'!E47</f>
        <v>0</v>
      </c>
      <c r="C439" s="8">
        <f>'Energy and Water'!M47</f>
        <v>0</v>
      </c>
      <c r="D439" s="78">
        <f>'Energy and Water'!O47</f>
        <v>0</v>
      </c>
      <c r="E439" s="187">
        <f>'Energy and Water'!N47</f>
        <v>0</v>
      </c>
      <c r="F439" s="187">
        <f>'Energy and Water'!P47</f>
        <v>0</v>
      </c>
      <c r="G439" s="187">
        <f>'Energy and Water'!Q47</f>
        <v>0</v>
      </c>
    </row>
    <row r="440" spans="1:26" ht="12.3">
      <c r="A440" s="19">
        <f>'Energy and Water'!B48</f>
        <v>0</v>
      </c>
      <c r="B440" s="4">
        <f>'Energy and Water'!E48</f>
        <v>0</v>
      </c>
      <c r="C440" s="8">
        <f>'Energy and Water'!M48</f>
        <v>0</v>
      </c>
      <c r="D440" s="78">
        <f>'Energy and Water'!O48</f>
        <v>0</v>
      </c>
      <c r="E440" s="187">
        <f>'Energy and Water'!N48</f>
        <v>0</v>
      </c>
      <c r="F440" s="187">
        <f>'Energy and Water'!P48</f>
        <v>0</v>
      </c>
      <c r="G440" s="187">
        <f>'Energy and Water'!Q48</f>
        <v>0</v>
      </c>
    </row>
    <row r="441" spans="1:26" ht="12.3">
      <c r="A441" s="17">
        <f>'Energy and Water'!B49</f>
        <v>0</v>
      </c>
      <c r="B441" s="21" t="str">
        <f>'Energy and Water'!E49</f>
        <v>Totals</v>
      </c>
      <c r="C441" s="164">
        <f>'Energy and Water'!M49</f>
        <v>0</v>
      </c>
      <c r="D441" s="164">
        <f>'Energy and Water'!O49</f>
        <v>0</v>
      </c>
      <c r="E441" s="114">
        <f>'Energy and Water'!N49</f>
        <v>0</v>
      </c>
      <c r="F441" s="114">
        <f>'Energy and Water'!P49</f>
        <v>0</v>
      </c>
      <c r="G441" s="114">
        <f>'Energy and Water'!Q49</f>
        <v>0</v>
      </c>
    </row>
    <row r="442" spans="1:26" ht="12.3">
      <c r="B442" s="13"/>
    </row>
    <row r="443" spans="1:26" ht="12.3">
      <c r="B443" s="13" t="s">
        <v>699</v>
      </c>
    </row>
    <row r="444" spans="1:26" ht="36.9">
      <c r="A444" s="87" t="str">
        <f>'Energy and Water'!B51</f>
        <v>Units</v>
      </c>
      <c r="B444" s="117" t="str">
        <f>'Energy and Water'!E51</f>
        <v>Equipment Usage</v>
      </c>
      <c r="C444" s="87" t="str">
        <f>'Energy and Water'!G51</f>
        <v>volts</v>
      </c>
      <c r="D444" s="87" t="str">
        <f>'Energy and Water'!H51</f>
        <v>amps</v>
      </c>
      <c r="E444" s="87" t="str">
        <f>'Energy and Water'!J51</f>
        <v>Running watts per unit</v>
      </c>
      <c r="F444" s="87" t="str">
        <f>'Energy and Water'!K51</f>
        <v>total watts</v>
      </c>
      <c r="G444" s="87" t="str">
        <f>'Energy and Water'!L51</f>
        <v>kWh</v>
      </c>
      <c r="H444" s="87" t="str">
        <f>'Energy and Water'!R51</f>
        <v>Op Hrs per day</v>
      </c>
      <c r="I444" s="87" t="str">
        <f>'Energy and Water'!S51</f>
        <v>Op Days per week</v>
      </c>
      <c r="J444" s="117" t="s">
        <v>682</v>
      </c>
      <c r="K444" s="45"/>
      <c r="L444" s="45"/>
      <c r="M444" s="45"/>
      <c r="N444" s="45"/>
      <c r="O444" s="45"/>
      <c r="P444" s="45"/>
      <c r="Q444" s="45"/>
      <c r="R444" s="45"/>
      <c r="S444" s="45"/>
      <c r="T444" s="45"/>
      <c r="U444" s="45"/>
      <c r="V444" s="45"/>
      <c r="W444" s="45"/>
      <c r="X444" s="45"/>
      <c r="Y444" s="45"/>
      <c r="Z444" s="45"/>
    </row>
    <row r="445" spans="1:26" ht="12.3">
      <c r="A445" s="19">
        <f>'Energy and Water'!B53</f>
        <v>0</v>
      </c>
      <c r="B445" s="4">
        <f>'Energy and Water'!E53</f>
        <v>0</v>
      </c>
      <c r="C445" s="19">
        <f>'Energy and Water'!G53</f>
        <v>0</v>
      </c>
      <c r="D445" s="8" t="str">
        <f>'Energy and Water'!H53</f>
        <v/>
      </c>
      <c r="E445" s="19">
        <f>'Energy and Water'!J53</f>
        <v>0</v>
      </c>
      <c r="F445" s="19">
        <f>'Energy and Water'!K53</f>
        <v>0</v>
      </c>
      <c r="G445" s="8">
        <f>'Energy and Water'!L53</f>
        <v>0</v>
      </c>
      <c r="H445" s="19">
        <f>'Energy and Water'!R53</f>
        <v>0</v>
      </c>
      <c r="I445" s="19">
        <f>'Energy and Water'!S53</f>
        <v>0</v>
      </c>
      <c r="J445" s="16">
        <f>SUM('Energy and Water'!T53:AE53)</f>
        <v>0</v>
      </c>
    </row>
    <row r="446" spans="1:26" ht="12.3">
      <c r="A446" s="19">
        <f>'Energy and Water'!B54</f>
        <v>0</v>
      </c>
      <c r="B446" s="4">
        <f>'Energy and Water'!E54</f>
        <v>0</v>
      </c>
      <c r="C446" s="19">
        <f>'Energy and Water'!G54</f>
        <v>0</v>
      </c>
      <c r="D446" s="8" t="str">
        <f>'Energy and Water'!H54</f>
        <v/>
      </c>
      <c r="E446" s="19">
        <f>'Energy and Water'!J54</f>
        <v>0</v>
      </c>
      <c r="F446" s="19">
        <f>'Energy and Water'!K54</f>
        <v>0</v>
      </c>
      <c r="G446" s="8">
        <f>'Energy and Water'!L54</f>
        <v>0</v>
      </c>
      <c r="H446" s="19">
        <f>'Energy and Water'!R54</f>
        <v>0</v>
      </c>
      <c r="I446" s="19">
        <f>'Energy and Water'!S54</f>
        <v>0</v>
      </c>
      <c r="J446" s="16">
        <f>SUM('Energy and Water'!T54:AE54)</f>
        <v>0</v>
      </c>
    </row>
    <row r="447" spans="1:26" ht="12.3" hidden="1">
      <c r="A447" s="19">
        <f>'Energy and Water'!B55</f>
        <v>0</v>
      </c>
      <c r="B447" s="4">
        <f>'Energy and Water'!E55</f>
        <v>0</v>
      </c>
      <c r="C447" s="19">
        <f>'Energy and Water'!G55</f>
        <v>0</v>
      </c>
      <c r="D447" s="8" t="str">
        <f>'Energy and Water'!H55</f>
        <v/>
      </c>
      <c r="E447" s="19">
        <f>'Energy and Water'!J55</f>
        <v>0</v>
      </c>
      <c r="F447" s="19">
        <f>'Energy and Water'!K55</f>
        <v>0</v>
      </c>
      <c r="G447" s="8">
        <f>'Energy and Water'!L55</f>
        <v>0</v>
      </c>
      <c r="H447" s="19">
        <f>'Energy and Water'!R55</f>
        <v>0</v>
      </c>
      <c r="I447" s="19">
        <f>'Energy and Water'!S55</f>
        <v>0</v>
      </c>
      <c r="J447" s="16">
        <f>SUM('Energy and Water'!T55:AE55)</f>
        <v>0</v>
      </c>
    </row>
    <row r="448" spans="1:26" ht="12.3" hidden="1">
      <c r="A448" s="19">
        <f>'Energy and Water'!B56</f>
        <v>0</v>
      </c>
      <c r="B448" s="4">
        <f>'Energy and Water'!E56</f>
        <v>0</v>
      </c>
      <c r="C448" s="19">
        <f>'Energy and Water'!G56</f>
        <v>0</v>
      </c>
      <c r="D448" s="8" t="str">
        <f>'Energy and Water'!H56</f>
        <v/>
      </c>
      <c r="E448" s="19">
        <f>'Energy and Water'!J56</f>
        <v>0</v>
      </c>
      <c r="F448" s="19">
        <f>'Energy and Water'!K56</f>
        <v>0</v>
      </c>
      <c r="G448" s="8">
        <f>'Energy and Water'!L56</f>
        <v>0</v>
      </c>
      <c r="H448" s="19">
        <f>'Energy and Water'!R56</f>
        <v>0</v>
      </c>
      <c r="I448" s="19">
        <f>'Energy and Water'!S56</f>
        <v>0</v>
      </c>
      <c r="J448" s="16">
        <f>SUM('Energy and Water'!T56:AE56)</f>
        <v>0</v>
      </c>
    </row>
    <row r="449" spans="1:26" ht="12.3" hidden="1">
      <c r="A449" s="19">
        <f>'Energy and Water'!B57</f>
        <v>0</v>
      </c>
      <c r="B449" s="4">
        <f>'Energy and Water'!E57</f>
        <v>0</v>
      </c>
      <c r="C449" s="19">
        <f>'Energy and Water'!G57</f>
        <v>0</v>
      </c>
      <c r="D449" s="8" t="str">
        <f>'Energy and Water'!H57</f>
        <v/>
      </c>
      <c r="E449" s="19">
        <f>'Energy and Water'!J57</f>
        <v>0</v>
      </c>
      <c r="F449" s="19">
        <f>'Energy and Water'!K57</f>
        <v>0</v>
      </c>
      <c r="G449" s="8">
        <f>'Energy and Water'!L57</f>
        <v>0</v>
      </c>
      <c r="H449" s="19">
        <f>'Energy and Water'!R57</f>
        <v>0</v>
      </c>
      <c r="I449" s="19">
        <f>'Energy and Water'!S57</f>
        <v>0</v>
      </c>
      <c r="J449" s="16">
        <f>SUM('Energy and Water'!T57:AE57)</f>
        <v>0</v>
      </c>
    </row>
    <row r="450" spans="1:26" ht="12.3">
      <c r="A450" s="69"/>
      <c r="B450" s="21" t="str">
        <f>'Energy and Water'!E58</f>
        <v>Totals</v>
      </c>
      <c r="C450" s="70">
        <f>'Energy and Water'!G58</f>
        <v>0</v>
      </c>
      <c r="D450" s="85">
        <f>'Energy and Water'!H58</f>
        <v>0</v>
      </c>
      <c r="E450" s="85">
        <f>'Energy and Water'!J58</f>
        <v>0</v>
      </c>
      <c r="F450" s="85">
        <f>'Energy and Water'!K58</f>
        <v>0</v>
      </c>
      <c r="G450" s="164">
        <f>'Energy and Water'!L58</f>
        <v>0</v>
      </c>
      <c r="H450" s="70">
        <f>'Energy and Water'!R58</f>
        <v>0</v>
      </c>
      <c r="I450" s="70">
        <f>'Energy and Water'!S58</f>
        <v>0</v>
      </c>
      <c r="J450" s="70"/>
    </row>
    <row r="451" spans="1:26" ht="12.3">
      <c r="B451" s="13"/>
    </row>
    <row r="452" spans="1:26" ht="12.3">
      <c r="B452" s="13" t="s">
        <v>700</v>
      </c>
    </row>
    <row r="453" spans="1:26" ht="24.6">
      <c r="A453" s="87" t="str">
        <f>'Energy and Water'!B51</f>
        <v>Units</v>
      </c>
      <c r="B453" s="117" t="str">
        <f>'Energy and Water'!E51</f>
        <v>Equipment Usage</v>
      </c>
      <c r="C453" s="88" t="str">
        <f>'Energy and Water'!M51</f>
        <v>Daily kWh</v>
      </c>
      <c r="D453" s="173" t="str">
        <f>'Energy and Water'!O51</f>
        <v>Monthly kWh</v>
      </c>
      <c r="E453" s="88" t="str">
        <f>'Energy and Water'!N51</f>
        <v>Cost per day</v>
      </c>
      <c r="F453" s="88" t="str">
        <f>'Energy and Water'!P51</f>
        <v>Cost Per month</v>
      </c>
      <c r="G453" s="88" t="str">
        <f>'Energy and Water'!Q51</f>
        <v>Cost Per year</v>
      </c>
      <c r="H453" s="45"/>
      <c r="I453" s="45"/>
      <c r="J453" s="45"/>
      <c r="K453" s="45"/>
      <c r="L453" s="45"/>
      <c r="M453" s="45"/>
      <c r="N453" s="45"/>
      <c r="O453" s="45"/>
      <c r="P453" s="45"/>
      <c r="Q453" s="45"/>
      <c r="R453" s="45"/>
      <c r="S453" s="45"/>
      <c r="T453" s="45"/>
      <c r="U453" s="45"/>
      <c r="V453" s="45"/>
      <c r="W453" s="45"/>
      <c r="X453" s="45"/>
      <c r="Y453" s="45"/>
      <c r="Z453" s="45"/>
    </row>
    <row r="454" spans="1:26" ht="12.3">
      <c r="A454" s="19">
        <f>'Energy and Water'!B53</f>
        <v>0</v>
      </c>
      <c r="B454" s="4">
        <f>'Energy and Water'!E53</f>
        <v>0</v>
      </c>
      <c r="C454" s="8">
        <f>'Energy and Water'!M53</f>
        <v>0</v>
      </c>
      <c r="D454" s="78">
        <f>'Energy and Water'!O53</f>
        <v>0</v>
      </c>
      <c r="E454" s="187">
        <f>'Energy and Water'!N53</f>
        <v>0</v>
      </c>
      <c r="F454" s="187">
        <f>'Energy and Water'!P53</f>
        <v>0</v>
      </c>
      <c r="G454" s="187">
        <f>'Energy and Water'!Q53</f>
        <v>0</v>
      </c>
    </row>
    <row r="455" spans="1:26" ht="12.3">
      <c r="A455" s="19">
        <f>'Energy and Water'!B54</f>
        <v>0</v>
      </c>
      <c r="B455" s="4">
        <f>'Energy and Water'!E54</f>
        <v>0</v>
      </c>
      <c r="C455" s="8">
        <f>'Energy and Water'!M54</f>
        <v>0</v>
      </c>
      <c r="D455" s="78">
        <f>'Energy and Water'!O54</f>
        <v>0</v>
      </c>
      <c r="E455" s="187">
        <f>'Energy and Water'!N54</f>
        <v>0</v>
      </c>
      <c r="F455" s="187">
        <f>'Energy and Water'!P54</f>
        <v>0</v>
      </c>
      <c r="G455" s="187">
        <f>'Energy and Water'!Q54</f>
        <v>0</v>
      </c>
    </row>
    <row r="456" spans="1:26" ht="12.3" hidden="1">
      <c r="A456" s="19">
        <f>'Energy and Water'!B55</f>
        <v>0</v>
      </c>
      <c r="B456" s="4">
        <f>'Energy and Water'!E55</f>
        <v>0</v>
      </c>
      <c r="C456" s="8">
        <f>'Energy and Water'!M55</f>
        <v>0</v>
      </c>
      <c r="D456" s="78">
        <f>'Energy and Water'!O55</f>
        <v>0</v>
      </c>
      <c r="E456" s="187">
        <f>'Energy and Water'!N55</f>
        <v>0</v>
      </c>
      <c r="F456" s="187">
        <f>'Energy and Water'!P55</f>
        <v>0</v>
      </c>
      <c r="G456" s="187">
        <f>'Energy and Water'!Q55</f>
        <v>0</v>
      </c>
    </row>
    <row r="457" spans="1:26" ht="12.3" hidden="1">
      <c r="A457" s="19">
        <f>'Energy and Water'!B56</f>
        <v>0</v>
      </c>
      <c r="B457" s="4">
        <f>'Energy and Water'!E56</f>
        <v>0</v>
      </c>
      <c r="C457" s="8">
        <f>'Energy and Water'!M56</f>
        <v>0</v>
      </c>
      <c r="D457" s="78">
        <f>'Energy and Water'!O56</f>
        <v>0</v>
      </c>
      <c r="E457" s="187">
        <f>'Energy and Water'!N56</f>
        <v>0</v>
      </c>
      <c r="F457" s="187">
        <f>'Energy and Water'!P56</f>
        <v>0</v>
      </c>
      <c r="G457" s="187">
        <f>'Energy and Water'!Q56</f>
        <v>0</v>
      </c>
    </row>
    <row r="458" spans="1:26" ht="12.3" hidden="1">
      <c r="A458" s="19">
        <f>'Energy and Water'!B57</f>
        <v>0</v>
      </c>
      <c r="B458" s="4">
        <f>'Energy and Water'!E57</f>
        <v>0</v>
      </c>
      <c r="C458" s="8">
        <f>'Energy and Water'!M57</f>
        <v>0</v>
      </c>
      <c r="D458" s="78">
        <f>'Energy and Water'!O57</f>
        <v>0</v>
      </c>
      <c r="E458" s="187">
        <f>'Energy and Water'!N57</f>
        <v>0</v>
      </c>
      <c r="F458" s="187">
        <f>'Energy and Water'!P57</f>
        <v>0</v>
      </c>
      <c r="G458" s="187">
        <f>'Energy and Water'!Q57</f>
        <v>0</v>
      </c>
    </row>
    <row r="459" spans="1:26" ht="12.3">
      <c r="A459" s="70">
        <f>'Energy and Water'!B58</f>
        <v>0</v>
      </c>
      <c r="B459" s="21" t="str">
        <f>'Energy and Water'!E58</f>
        <v>Totals</v>
      </c>
      <c r="C459" s="85">
        <f>'Energy and Water'!M58</f>
        <v>0</v>
      </c>
      <c r="D459" s="38">
        <f>'Energy and Water'!O58</f>
        <v>0</v>
      </c>
      <c r="E459" s="114">
        <f>'Energy and Water'!N58</f>
        <v>0</v>
      </c>
      <c r="F459" s="114">
        <f>'Energy and Water'!P58</f>
        <v>0</v>
      </c>
      <c r="G459" s="114">
        <f>'Energy and Water'!Q58</f>
        <v>0</v>
      </c>
    </row>
    <row r="460" spans="1:26" ht="12.3">
      <c r="B460" s="13"/>
    </row>
    <row r="461" spans="1:26" ht="12.3">
      <c r="B461" s="13"/>
    </row>
    <row r="462" spans="1:26" ht="12.3">
      <c r="B462" s="13" t="s">
        <v>544</v>
      </c>
    </row>
    <row r="463" spans="1:26" ht="12.3">
      <c r="B463" s="188">
        <f t="array" ref="B463:N463">TRANSPOSE('Energy and Water'!N83:N95)</f>
        <v>0</v>
      </c>
      <c r="C463" s="189">
        <v>0</v>
      </c>
      <c r="D463" s="143">
        <v>0</v>
      </c>
      <c r="E463" s="189">
        <v>0</v>
      </c>
      <c r="F463" s="143">
        <v>0</v>
      </c>
      <c r="G463" s="143">
        <v>0</v>
      </c>
      <c r="H463" s="143">
        <v>0</v>
      </c>
      <c r="I463" s="143">
        <v>0</v>
      </c>
      <c r="J463" s="143">
        <v>0</v>
      </c>
      <c r="K463" s="143">
        <v>0</v>
      </c>
      <c r="L463" s="143">
        <v>0</v>
      </c>
      <c r="M463" s="143">
        <v>0</v>
      </c>
      <c r="N463" s="143">
        <v>0</v>
      </c>
    </row>
    <row r="464" spans="1:26" ht="12.3">
      <c r="B464" s="190">
        <f t="array" ref="B464:N464">TRANSPOSE('Energy and Water'!O83:O95)</f>
        <v>0</v>
      </c>
      <c r="C464" s="39">
        <v>0</v>
      </c>
      <c r="D464" s="78">
        <v>0</v>
      </c>
      <c r="E464" s="39">
        <v>0</v>
      </c>
      <c r="F464" s="78">
        <v>0</v>
      </c>
      <c r="G464" s="78">
        <v>0</v>
      </c>
      <c r="H464" s="78">
        <v>0</v>
      </c>
      <c r="I464" s="78">
        <v>0</v>
      </c>
      <c r="J464" s="78">
        <v>0</v>
      </c>
      <c r="K464" s="78">
        <v>0</v>
      </c>
      <c r="L464" s="78">
        <v>0</v>
      </c>
      <c r="M464" s="78">
        <v>0</v>
      </c>
      <c r="N464" s="78">
        <v>0</v>
      </c>
    </row>
    <row r="465" spans="2:14" ht="12.3">
      <c r="B465" s="48">
        <f t="array" ref="B465:N465">TRANSPOSE('Energy and Water'!P83:P95)</f>
        <v>0</v>
      </c>
      <c r="C465" s="36">
        <v>0</v>
      </c>
      <c r="D465" s="177">
        <v>0</v>
      </c>
      <c r="E465" s="36">
        <v>0</v>
      </c>
      <c r="F465" s="177">
        <v>0</v>
      </c>
      <c r="G465" s="177">
        <v>0</v>
      </c>
      <c r="H465" s="177">
        <v>0</v>
      </c>
      <c r="I465" s="177">
        <v>0</v>
      </c>
      <c r="J465" s="177">
        <v>0</v>
      </c>
      <c r="K465" s="177">
        <v>0</v>
      </c>
      <c r="L465" s="177">
        <v>0</v>
      </c>
      <c r="M465" s="177">
        <v>0</v>
      </c>
      <c r="N465" s="177">
        <v>0</v>
      </c>
    </row>
    <row r="466" spans="2:14" ht="12.3">
      <c r="B466" s="191">
        <f t="array" ref="B466:N466">TRANSPOSE('Energy and Water'!Q83:Q95)</f>
        <v>0</v>
      </c>
      <c r="C466" s="192">
        <v>0</v>
      </c>
      <c r="D466" s="86">
        <v>0</v>
      </c>
      <c r="E466" s="192">
        <v>0</v>
      </c>
      <c r="F466" s="86">
        <v>0</v>
      </c>
      <c r="G466" s="86">
        <v>0</v>
      </c>
      <c r="H466" s="86">
        <v>0</v>
      </c>
      <c r="I466" s="86">
        <v>0</v>
      </c>
      <c r="J466" s="86">
        <v>0</v>
      </c>
      <c r="K466" s="86">
        <v>0</v>
      </c>
      <c r="L466" s="86">
        <v>0</v>
      </c>
      <c r="M466" s="86">
        <v>0</v>
      </c>
      <c r="N466" s="86">
        <v>0</v>
      </c>
    </row>
    <row r="468" spans="2:14" ht="12.3">
      <c r="B468" s="13" t="s">
        <v>701</v>
      </c>
    </row>
    <row r="469" spans="2:14" ht="12.3">
      <c r="B469" s="188">
        <f t="array" ref="B469:N469">TRANSPOSE('Energy and Water'!N100:N112)</f>
        <v>0</v>
      </c>
      <c r="C469" s="189">
        <v>0</v>
      </c>
      <c r="D469" s="143">
        <v>0</v>
      </c>
      <c r="E469" s="189">
        <v>0</v>
      </c>
      <c r="F469" s="143">
        <v>0</v>
      </c>
      <c r="G469" s="143">
        <v>0</v>
      </c>
      <c r="H469" s="143">
        <v>0</v>
      </c>
      <c r="I469" s="143">
        <v>0</v>
      </c>
      <c r="J469" s="143">
        <v>0</v>
      </c>
      <c r="K469" s="143">
        <v>0</v>
      </c>
      <c r="L469" s="143">
        <v>0</v>
      </c>
      <c r="M469" s="143">
        <v>0</v>
      </c>
      <c r="N469" s="143">
        <v>0</v>
      </c>
    </row>
    <row r="470" spans="2:14" ht="12.3">
      <c r="B470" s="190">
        <f t="array" ref="B470:N470">TRANSPOSE('Energy and Water'!O100:O112)</f>
        <v>0</v>
      </c>
      <c r="C470" s="39">
        <v>0</v>
      </c>
      <c r="D470" s="78">
        <v>0</v>
      </c>
      <c r="E470" s="39">
        <v>0</v>
      </c>
      <c r="F470" s="78">
        <v>0</v>
      </c>
      <c r="G470" s="78">
        <v>0</v>
      </c>
      <c r="H470" s="78">
        <v>0</v>
      </c>
      <c r="I470" s="78">
        <v>0</v>
      </c>
      <c r="J470" s="78">
        <v>0</v>
      </c>
      <c r="K470" s="78">
        <v>0</v>
      </c>
      <c r="L470" s="78">
        <v>0</v>
      </c>
      <c r="M470" s="78">
        <v>0</v>
      </c>
      <c r="N470" s="78">
        <v>0</v>
      </c>
    </row>
    <row r="471" spans="2:14" ht="12.3">
      <c r="B471" s="48">
        <f t="array" ref="B471:N471">TRANSPOSE('Energy and Water'!P100:P112)</f>
        <v>0</v>
      </c>
      <c r="C471" s="193">
        <v>0</v>
      </c>
      <c r="D471" s="187">
        <v>0</v>
      </c>
      <c r="E471" s="193">
        <v>0</v>
      </c>
      <c r="F471" s="187">
        <v>0</v>
      </c>
      <c r="G471" s="187">
        <v>0</v>
      </c>
      <c r="H471" s="187">
        <v>0</v>
      </c>
      <c r="I471" s="187">
        <v>0</v>
      </c>
      <c r="J471" s="187">
        <v>0</v>
      </c>
      <c r="K471" s="187">
        <v>0</v>
      </c>
      <c r="L471" s="187">
        <v>0</v>
      </c>
      <c r="M471" s="187">
        <v>0</v>
      </c>
      <c r="N471" s="187">
        <v>0</v>
      </c>
    </row>
    <row r="472" spans="2:14" ht="12.3">
      <c r="B472" s="194">
        <f t="array" ref="B472:N472">TRANSPOSE('Energy and Water'!Q100:Q112)</f>
        <v>0</v>
      </c>
      <c r="C472" s="195">
        <v>0</v>
      </c>
      <c r="D472" s="133">
        <v>0</v>
      </c>
      <c r="E472" s="195">
        <v>0</v>
      </c>
      <c r="F472" s="133">
        <v>0</v>
      </c>
      <c r="G472" s="133">
        <v>0</v>
      </c>
      <c r="H472" s="133">
        <v>0</v>
      </c>
      <c r="I472" s="133">
        <v>0</v>
      </c>
      <c r="J472" s="133">
        <v>0</v>
      </c>
      <c r="K472" s="133">
        <v>0</v>
      </c>
      <c r="L472" s="133">
        <v>0</v>
      </c>
      <c r="M472" s="133">
        <v>0</v>
      </c>
      <c r="N472" s="133">
        <v>0</v>
      </c>
    </row>
    <row r="474" spans="2:14" ht="12.3">
      <c r="B474" s="13" t="s">
        <v>702</v>
      </c>
    </row>
    <row r="475" spans="2:14" ht="12.3">
      <c r="B475" s="136" t="str">
        <f>'Energy and Water'!E61</f>
        <v>Components</v>
      </c>
      <c r="C475" s="136" t="str">
        <f>'Energy and Water'!F61</f>
        <v>Volume in Gallons</v>
      </c>
      <c r="D475" s="136" t="str">
        <f>'Energy and Water'!G61</f>
        <v>Weight in lbs</v>
      </c>
    </row>
    <row r="476" spans="2:14" ht="12.3">
      <c r="B476" s="10" t="str">
        <f>'Energy and Water'!E62</f>
        <v>Number of Fish Tanks</v>
      </c>
      <c r="C476" s="8">
        <f>'Energy and Water'!F62</f>
        <v>4</v>
      </c>
      <c r="D476" s="19">
        <f>'Energy and Water'!G62</f>
        <v>0</v>
      </c>
    </row>
    <row r="477" spans="2:14" ht="12.3">
      <c r="B477" s="10" t="str">
        <f>'Energy and Water'!E63</f>
        <v>Volume per tank</v>
      </c>
      <c r="C477" s="19" t="str">
        <f>'Energy and Water'!F63</f>
        <v/>
      </c>
      <c r="D477" s="42">
        <f>'Energy and Water'!G63</f>
        <v>0</v>
      </c>
    </row>
    <row r="478" spans="2:14" ht="12.3">
      <c r="B478" s="10" t="str">
        <f>'Energy and Water'!E64</f>
        <v>Fish Tank total volume</v>
      </c>
      <c r="C478" s="19">
        <f>'Energy and Water'!F64</f>
        <v>0</v>
      </c>
      <c r="D478" s="42">
        <f>'Energy and Water'!G64</f>
        <v>0</v>
      </c>
    </row>
    <row r="479" spans="2:14" ht="12.3">
      <c r="B479" s="10" t="str">
        <f>'Energy and Water'!E65</f>
        <v>Filtration system volume</v>
      </c>
      <c r="C479" s="19">
        <f>'Energy and Water'!F65</f>
        <v>0</v>
      </c>
      <c r="D479" s="42">
        <f>'Energy and Water'!G65</f>
        <v>0</v>
      </c>
    </row>
    <row r="480" spans="2:14" ht="12.3">
      <c r="B480" s="10" t="str">
        <f>'Energy and Water'!E66</f>
        <v>Fish Sump volume</v>
      </c>
      <c r="C480" s="19">
        <f>'Energy and Water'!F66</f>
        <v>0</v>
      </c>
      <c r="D480" s="42">
        <f>'Energy and Water'!G66</f>
        <v>0</v>
      </c>
    </row>
    <row r="481" spans="2:4" ht="12.3">
      <c r="B481" s="68" t="str">
        <f>'Energy and Water'!E67</f>
        <v xml:space="preserve">Total Fish System </v>
      </c>
      <c r="C481" s="70">
        <f>'Energy and Water'!F67</f>
        <v>0</v>
      </c>
      <c r="D481" s="38">
        <f>'Energy and Water'!G67</f>
        <v>0</v>
      </c>
    </row>
    <row r="482" spans="2:4" ht="12.3">
      <c r="B482" s="10" t="str">
        <f>'Energy and Water'!E68</f>
        <v>Plant Sump</v>
      </c>
      <c r="C482" s="19">
        <f>'Energy and Water'!F68</f>
        <v>60</v>
      </c>
      <c r="D482" s="42">
        <f>'Energy and Water'!G68</f>
        <v>499.8</v>
      </c>
    </row>
    <row r="483" spans="2:4" ht="12.3">
      <c r="B483" s="10" t="str">
        <f>'Energy and Water'!E69</f>
        <v>Mineralization Tank</v>
      </c>
      <c r="C483" s="19">
        <f>'Energy and Water'!F69</f>
        <v>0</v>
      </c>
      <c r="D483" s="42">
        <f>'Energy and Water'!G69</f>
        <v>0</v>
      </c>
    </row>
    <row r="484" spans="2:4" ht="12.3">
      <c r="B484" s="10" t="str">
        <f>'Energy and Water'!E70</f>
        <v>Media Beds</v>
      </c>
      <c r="C484" s="19">
        <f>'Energy and Water'!F70</f>
        <v>0</v>
      </c>
      <c r="D484" s="42">
        <f>'Energy and Water'!G70</f>
        <v>0</v>
      </c>
    </row>
    <row r="485" spans="2:4" ht="12.3">
      <c r="B485" s="10" t="str">
        <f>'Energy and Water'!E71</f>
        <v>DWC Transplanting Trough(s)</v>
      </c>
      <c r="C485" s="19">
        <f>'Energy and Water'!F71</f>
        <v>0</v>
      </c>
      <c r="D485" s="42">
        <f>'Energy and Water'!G71</f>
        <v>0</v>
      </c>
    </row>
    <row r="486" spans="2:4" ht="12.3">
      <c r="B486" s="10" t="str">
        <f>'Energy and Water'!E72</f>
        <v>DWC Growout Trough(s)</v>
      </c>
      <c r="C486" s="19">
        <f>'Energy and Water'!F72</f>
        <v>9574.4000000000015</v>
      </c>
      <c r="D486" s="42">
        <f>'Energy and Water'!G72</f>
        <v>79754.752000000008</v>
      </c>
    </row>
    <row r="487" spans="2:4" ht="12.3">
      <c r="B487" s="68" t="str">
        <f>'Energy and Water'!E73</f>
        <v xml:space="preserve">Total Plant System </v>
      </c>
      <c r="C487" s="38">
        <f>'Energy and Water'!F73</f>
        <v>9634.4000000000015</v>
      </c>
      <c r="D487" s="38">
        <f>'Energy and Water'!G73</f>
        <v>80254.552000000011</v>
      </c>
    </row>
    <row r="488" spans="2:4" ht="12.3">
      <c r="B488" s="68" t="str">
        <f>'Energy and Water'!E74</f>
        <v xml:space="preserve">Total System </v>
      </c>
      <c r="C488" s="38">
        <f>'Energy and Water'!F74</f>
        <v>9634.4000000000015</v>
      </c>
      <c r="D488" s="38">
        <f>'Energy and Water'!G74</f>
        <v>80254.552000000011</v>
      </c>
    </row>
    <row r="489" spans="2:4" ht="12.3">
      <c r="B489" s="10" t="str">
        <f>'Energy and Water'!E75</f>
        <v>Monthly top off as % of total</v>
      </c>
      <c r="C489" s="132">
        <f>'Energy and Water'!F75</f>
        <v>0.3</v>
      </c>
      <c r="D489" s="19">
        <f>'Energy and Water'!G75</f>
        <v>0</v>
      </c>
    </row>
    <row r="490" spans="2:4" ht="12.3">
      <c r="B490" s="10" t="str">
        <f>'Energy and Water'!E76</f>
        <v>avg. monthly top off</v>
      </c>
      <c r="C490" s="42">
        <f>'Energy and Water'!F76</f>
        <v>2890.32</v>
      </c>
      <c r="D490" s="19">
        <f>'Energy and Water'!G76</f>
        <v>0</v>
      </c>
    </row>
    <row r="491" spans="2:4" ht="12.3">
      <c r="B491" s="10" t="str">
        <f>'Energy and Water'!E77</f>
        <v>Estimated Annual consumption</v>
      </c>
      <c r="C491" s="42">
        <f>'Energy and Water'!F77</f>
        <v>34683.840000000004</v>
      </c>
      <c r="D491" s="19">
        <f>'Energy and Water'!G77</f>
        <v>0</v>
      </c>
    </row>
    <row r="492" spans="2:4" ht="12.3">
      <c r="B492" s="10" t="str">
        <f>'Energy and Water'!E78</f>
        <v>Consumption plus initial fill</v>
      </c>
      <c r="C492" s="42">
        <f>'Energy and Water'!F78</f>
        <v>44318.240000000005</v>
      </c>
      <c r="D492" s="19">
        <f>'Energy and Water'!G78</f>
        <v>0</v>
      </c>
    </row>
    <row r="493" spans="2:4" ht="12.3">
      <c r="B493" s="10" t="str">
        <f>'Energy and Water'!E79</f>
        <v>Initial Fill</v>
      </c>
      <c r="C493" s="42">
        <f>'Energy and Water'!F79</f>
        <v>9634.4000000000015</v>
      </c>
      <c r="D493" s="196">
        <f>'Energy and Water'!G79</f>
        <v>0</v>
      </c>
    </row>
    <row r="494" spans="2:4" ht="12.3">
      <c r="B494" s="10" t="e">
        <f>'Energy and Water'!#REF!</f>
        <v>#REF!</v>
      </c>
      <c r="C494" s="42" t="e">
        <f>'Energy and Water'!#REF!</f>
        <v>#REF!</v>
      </c>
      <c r="D494" s="196">
        <f>'Energy and Water'!H11</f>
        <v>0</v>
      </c>
    </row>
    <row r="495" spans="2:4" ht="12.3">
      <c r="B495" s="197" t="str">
        <f>'Energy and Water'!E80</f>
        <v xml:space="preserve">Avg. Annual Consumption </v>
      </c>
      <c r="C495" s="38">
        <f>'Energy and Water'!F80</f>
        <v>34683.840000000004</v>
      </c>
      <c r="D495" s="198">
        <f>'Energy and Water'!G80</f>
        <v>0</v>
      </c>
    </row>
    <row r="496" spans="2:4" ht="12.3">
      <c r="B496">
        <f>'Energy and Water'!E81</f>
        <v>0</v>
      </c>
      <c r="C496">
        <f>'Energy and Water'!F81</f>
        <v>0</v>
      </c>
      <c r="D496">
        <f>'Energy and Water'!G81</f>
        <v>0</v>
      </c>
    </row>
    <row r="497" spans="1:26" ht="12.3">
      <c r="B497" s="13" t="s">
        <v>703</v>
      </c>
      <c r="C497">
        <f>'Energy and Water'!F82</f>
        <v>0</v>
      </c>
      <c r="D497">
        <f>'Energy and Water'!G82</f>
        <v>0</v>
      </c>
    </row>
    <row r="498" spans="1:26" ht="12.3">
      <c r="B498" s="136" t="str">
        <f>'Salaries and Training'!A4</f>
        <v>Position</v>
      </c>
      <c r="C498" s="137" t="str">
        <f>'Salaries and Training'!C4</f>
        <v>Year 1</v>
      </c>
      <c r="D498" s="137" t="str">
        <f>'Salaries and Training'!D4</f>
        <v>Year 2</v>
      </c>
      <c r="E498" s="137" t="str">
        <f>'Salaries and Training'!E4</f>
        <v>Year 3</v>
      </c>
      <c r="F498" s="137" t="str">
        <f>'Salaries and Training'!F4</f>
        <v>Year 4</v>
      </c>
    </row>
    <row r="499" spans="1:26" ht="12.3">
      <c r="B499" s="10" t="str">
        <f>'Salaries and Training'!A5</f>
        <v>Farm Manager</v>
      </c>
      <c r="C499" s="11">
        <f>'Salaries and Training'!C5</f>
        <v>44095.999999999993</v>
      </c>
      <c r="D499" s="11">
        <f>'Salaries and Training'!D5</f>
        <v>44095.999999999993</v>
      </c>
      <c r="E499" s="11">
        <f>'Salaries and Training'!E5</f>
        <v>44095.999999999993</v>
      </c>
      <c r="F499" s="11">
        <f>'Salaries and Training'!F5</f>
        <v>44095.999999999993</v>
      </c>
    </row>
    <row r="500" spans="1:26" ht="12.3">
      <c r="B500" s="10" t="str">
        <f>'Salaries and Training'!A6</f>
        <v>Assistant</v>
      </c>
      <c r="C500" s="11" t="str">
        <f>'Salaries and Training'!C6</f>
        <v/>
      </c>
      <c r="D500" s="11" t="str">
        <f>'Salaries and Training'!D6</f>
        <v/>
      </c>
      <c r="E500" s="11" t="str">
        <f>'Salaries and Training'!E6</f>
        <v/>
      </c>
      <c r="F500" s="11" t="str">
        <f>'Salaries and Training'!F6</f>
        <v/>
      </c>
    </row>
    <row r="501" spans="1:26" ht="12.3">
      <c r="B501" s="10" t="str">
        <f>'Salaries and Training'!A7</f>
        <v>Assistant</v>
      </c>
      <c r="C501" s="11" t="str">
        <f>'Salaries and Training'!C7</f>
        <v/>
      </c>
      <c r="D501" s="11" t="str">
        <f>'Salaries and Training'!D7</f>
        <v/>
      </c>
      <c r="E501" s="11" t="str">
        <f>'Salaries and Training'!E7</f>
        <v/>
      </c>
      <c r="F501" s="11" t="str">
        <f>'Salaries and Training'!F7</f>
        <v/>
      </c>
    </row>
    <row r="502" spans="1:26" ht="12.3">
      <c r="B502" s="10" t="str">
        <f>'Salaries and Training'!A8</f>
        <v>Intern</v>
      </c>
      <c r="C502" s="11" t="str">
        <f>'Salaries and Training'!C8</f>
        <v/>
      </c>
      <c r="D502" s="11" t="str">
        <f>'Salaries and Training'!D8</f>
        <v/>
      </c>
      <c r="E502" s="11" t="str">
        <f>'Salaries and Training'!E8</f>
        <v/>
      </c>
      <c r="F502" s="11" t="str">
        <f>'Salaries and Training'!F8</f>
        <v/>
      </c>
    </row>
    <row r="503" spans="1:26" ht="12.3">
      <c r="B503" s="10" t="str">
        <f>'Salaries and Training'!A9</f>
        <v/>
      </c>
      <c r="C503" s="11" t="str">
        <f>'Salaries and Training'!C9</f>
        <v/>
      </c>
      <c r="D503" s="11" t="str">
        <f>'Salaries and Training'!D9</f>
        <v/>
      </c>
      <c r="E503" s="11" t="str">
        <f>'Salaries and Training'!E9</f>
        <v/>
      </c>
      <c r="F503" s="11" t="str">
        <f>'Salaries and Training'!F9</f>
        <v/>
      </c>
    </row>
    <row r="504" spans="1:26" ht="12.3">
      <c r="B504" s="68" t="str">
        <f>'Salaries and Training'!A12</f>
        <v>Labor Total</v>
      </c>
      <c r="C504" s="86">
        <f>'Salaries and Training'!C12</f>
        <v>44095.999999999993</v>
      </c>
      <c r="D504" s="86">
        <f>'Salaries and Training'!D12</f>
        <v>44095.999999999993</v>
      </c>
      <c r="E504" s="86">
        <f>'Salaries and Training'!E12</f>
        <v>44095.999999999993</v>
      </c>
      <c r="F504" s="86">
        <f>'Salaries and Training'!F12</f>
        <v>44095.999999999993</v>
      </c>
    </row>
    <row r="506" spans="1:26" ht="12.3">
      <c r="B506" s="13" t="s">
        <v>62</v>
      </c>
    </row>
    <row r="507" spans="1:26" ht="12.3">
      <c r="B507" s="136" t="str">
        <f>'Salaries and Training'!A13</f>
        <v>Employee Training</v>
      </c>
      <c r="C507" s="137" t="str">
        <f>'Salaries and Training'!C4</f>
        <v>Year 1</v>
      </c>
      <c r="D507" s="137" t="str">
        <f>'Salaries and Training'!D4</f>
        <v>Year 2</v>
      </c>
      <c r="E507" s="137" t="str">
        <f>'Salaries and Training'!E4</f>
        <v>Year 3</v>
      </c>
      <c r="F507" s="137" t="str">
        <f>'Salaries and Training'!F4</f>
        <v>Year 4</v>
      </c>
    </row>
    <row r="508" spans="1:26" ht="12.3">
      <c r="B508" s="4" t="s">
        <v>655</v>
      </c>
      <c r="C508" s="11">
        <f>'Salaries and Training'!C13</f>
        <v>0</v>
      </c>
      <c r="D508" s="11">
        <f>'Salaries and Training'!D13</f>
        <v>0</v>
      </c>
      <c r="E508" s="11">
        <f>'Salaries and Training'!E13</f>
        <v>0</v>
      </c>
      <c r="F508" s="11">
        <f>'Salaries and Training'!F13</f>
        <v>0</v>
      </c>
    </row>
    <row r="510" spans="1:26" ht="12.3">
      <c r="B510" s="13" t="s">
        <v>704</v>
      </c>
    </row>
    <row r="511" spans="1:26" ht="36.9">
      <c r="A511" s="45"/>
      <c r="B511" s="87" t="str">
        <f>'REV &amp; COGS'!A92</f>
        <v>Microgreens</v>
      </c>
      <c r="C511" s="88" t="str">
        <f>'REV &amp; COGS'!B92</f>
        <v>Seed cost per flat</v>
      </c>
      <c r="D511" s="88" t="str">
        <f>'REV &amp; COGS'!C92</f>
        <v>Media cost per flat</v>
      </c>
      <c r="E511" s="88" t="str">
        <f>'REV &amp; COGS'!D92</f>
        <v>Product Sold by</v>
      </c>
      <c r="F511" s="88" t="str">
        <f>'REV &amp; COGS'!E92</f>
        <v>Cost per flat</v>
      </c>
      <c r="G511" s="88" t="str">
        <f>'REV &amp; COGS'!F92</f>
        <v>Packaging Type</v>
      </c>
      <c r="H511" s="88" t="str">
        <f>'REV &amp; COGS'!G92</f>
        <v>Packaging Cost per unit</v>
      </c>
      <c r="I511" s="88" t="str">
        <f>'REV &amp; COGS'!H92</f>
        <v>Total Cost per unit</v>
      </c>
      <c r="J511" s="88" t="str">
        <f>'REV &amp; COGS'!I92</f>
        <v>Total trays</v>
      </c>
      <c r="K511" s="88" t="str">
        <f>'REV &amp; COGS'!J92</f>
        <v>Annual cost per trays</v>
      </c>
      <c r="L511" s="45"/>
      <c r="M511" s="45"/>
      <c r="N511" s="45"/>
      <c r="O511" s="45"/>
      <c r="P511" s="45"/>
      <c r="Q511" s="45"/>
      <c r="R511" s="45"/>
      <c r="S511" s="45"/>
      <c r="T511" s="45"/>
      <c r="U511" s="45"/>
      <c r="V511" s="45"/>
      <c r="W511" s="45"/>
      <c r="X511" s="45"/>
      <c r="Y511" s="45"/>
      <c r="Z511" s="45"/>
    </row>
    <row r="512" spans="1:26" ht="12.3">
      <c r="B512" s="10" t="str">
        <f>'REV &amp; COGS'!A93</f>
        <v>pea shoots</v>
      </c>
      <c r="C512" s="44">
        <f>'REV &amp; COGS'!B93</f>
        <v>0</v>
      </c>
      <c r="D512" s="44">
        <f>'REV &amp; COGS'!C93</f>
        <v>0</v>
      </c>
      <c r="E512" s="19">
        <f>'REV &amp; COGS'!D93</f>
        <v>0</v>
      </c>
      <c r="F512" s="44">
        <f>'REV &amp; COGS'!E93</f>
        <v>0</v>
      </c>
      <c r="G512" s="19">
        <f>'REV &amp; COGS'!F93</f>
        <v>0</v>
      </c>
      <c r="H512" s="20" t="str">
        <f>'REV &amp; COGS'!G93</f>
        <v/>
      </c>
      <c r="I512" s="44" t="str">
        <f>'REV &amp; COGS'!H93</f>
        <v/>
      </c>
      <c r="J512" s="42">
        <f>'REV &amp; COGS'!I93</f>
        <v>156</v>
      </c>
      <c r="K512" s="11" t="str">
        <f>'REV &amp; COGS'!J93</f>
        <v/>
      </c>
    </row>
    <row r="513" spans="2:11" ht="12.3">
      <c r="B513" s="10" t="str">
        <f>'REV &amp; COGS'!A94</f>
        <v/>
      </c>
      <c r="C513" s="20">
        <f>'REV &amp; COGS'!B94</f>
        <v>0</v>
      </c>
      <c r="D513" s="20">
        <f>'REV &amp; COGS'!C94</f>
        <v>0</v>
      </c>
      <c r="E513" s="19">
        <f>'REV &amp; COGS'!D94</f>
        <v>0</v>
      </c>
      <c r="F513" s="20">
        <f>'REV &amp; COGS'!E94</f>
        <v>0</v>
      </c>
      <c r="G513" s="19">
        <f>'REV &amp; COGS'!F94</f>
        <v>0</v>
      </c>
      <c r="H513" s="20" t="str">
        <f>'REV &amp; COGS'!G94</f>
        <v/>
      </c>
      <c r="I513" s="20" t="str">
        <f>'REV &amp; COGS'!H94</f>
        <v/>
      </c>
      <c r="J513" s="42" t="str">
        <f>'REV &amp; COGS'!I94</f>
        <v/>
      </c>
      <c r="K513" s="11" t="str">
        <f>'REV &amp; COGS'!J94</f>
        <v/>
      </c>
    </row>
    <row r="514" spans="2:11" ht="12.3">
      <c r="B514" s="10" t="str">
        <f>'REV &amp; COGS'!A95</f>
        <v/>
      </c>
      <c r="C514" s="20">
        <f>'REV &amp; COGS'!B95</f>
        <v>0</v>
      </c>
      <c r="D514" s="20">
        <f>'REV &amp; COGS'!C95</f>
        <v>0</v>
      </c>
      <c r="E514" s="19">
        <f>'REV &amp; COGS'!D95</f>
        <v>0</v>
      </c>
      <c r="F514" s="20">
        <f>'REV &amp; COGS'!E95</f>
        <v>0</v>
      </c>
      <c r="G514" s="19">
        <f>'REV &amp; COGS'!F95</f>
        <v>0</v>
      </c>
      <c r="H514" s="20" t="str">
        <f>'REV &amp; COGS'!G95</f>
        <v/>
      </c>
      <c r="I514" s="20" t="str">
        <f>'REV &amp; COGS'!H95</f>
        <v/>
      </c>
      <c r="J514" s="42" t="str">
        <f>'REV &amp; COGS'!I95</f>
        <v/>
      </c>
      <c r="K514" s="11" t="str">
        <f>'REV &amp; COGS'!J95</f>
        <v/>
      </c>
    </row>
    <row r="515" spans="2:11" ht="12.3">
      <c r="B515" s="10" t="str">
        <f>'REV &amp; COGS'!A96</f>
        <v/>
      </c>
      <c r="C515" s="20">
        <f>'REV &amp; COGS'!B96</f>
        <v>0</v>
      </c>
      <c r="D515" s="20">
        <f>'REV &amp; COGS'!C96</f>
        <v>0</v>
      </c>
      <c r="E515" s="19">
        <f>'REV &amp; COGS'!D96</f>
        <v>0</v>
      </c>
      <c r="F515" s="20">
        <f>'REV &amp; COGS'!E96</f>
        <v>0</v>
      </c>
      <c r="G515" s="19">
        <f>'REV &amp; COGS'!F96</f>
        <v>0</v>
      </c>
      <c r="H515" s="20" t="str">
        <f>'REV &amp; COGS'!G96</f>
        <v/>
      </c>
      <c r="I515" s="20" t="str">
        <f>'REV &amp; COGS'!H96</f>
        <v/>
      </c>
      <c r="J515" s="42" t="str">
        <f>'REV &amp; COGS'!I96</f>
        <v/>
      </c>
      <c r="K515" s="11" t="str">
        <f>'REV &amp; COGS'!J96</f>
        <v/>
      </c>
    </row>
    <row r="516" spans="2:11" ht="12.3" hidden="1">
      <c r="B516" s="10" t="str">
        <f>'REV &amp; COGS'!A97</f>
        <v/>
      </c>
      <c r="C516" s="20">
        <f>'REV &amp; COGS'!B97</f>
        <v>0</v>
      </c>
      <c r="D516" s="20">
        <f>'REV &amp; COGS'!C97</f>
        <v>0</v>
      </c>
      <c r="E516" s="19">
        <f>'REV &amp; COGS'!D97</f>
        <v>0</v>
      </c>
      <c r="F516" s="20">
        <f>'REV &amp; COGS'!E97</f>
        <v>0</v>
      </c>
      <c r="G516" s="19">
        <f>'REV &amp; COGS'!F97</f>
        <v>0</v>
      </c>
      <c r="H516" s="20" t="str">
        <f>'REV &amp; COGS'!G97</f>
        <v/>
      </c>
      <c r="I516" s="20" t="str">
        <f>'REV &amp; COGS'!H97</f>
        <v/>
      </c>
      <c r="J516" s="42" t="str">
        <f>'REV &amp; COGS'!I97</f>
        <v/>
      </c>
      <c r="K516" s="11" t="str">
        <f>'REV &amp; COGS'!J97</f>
        <v/>
      </c>
    </row>
    <row r="517" spans="2:11" ht="12.3" hidden="1">
      <c r="B517" s="10" t="str">
        <f>'REV &amp; COGS'!A98</f>
        <v/>
      </c>
      <c r="C517" s="20">
        <f>'REV &amp; COGS'!B98</f>
        <v>0</v>
      </c>
      <c r="D517" s="20">
        <f>'REV &amp; COGS'!C98</f>
        <v>0</v>
      </c>
      <c r="E517" s="19">
        <f>'REV &amp; COGS'!D98</f>
        <v>0</v>
      </c>
      <c r="F517" s="20">
        <f>'REV &amp; COGS'!E98</f>
        <v>0</v>
      </c>
      <c r="G517" s="19">
        <f>'REV &amp; COGS'!F98</f>
        <v>0</v>
      </c>
      <c r="H517" s="20" t="str">
        <f>'REV &amp; COGS'!G98</f>
        <v/>
      </c>
      <c r="I517" s="20" t="str">
        <f>'REV &amp; COGS'!H98</f>
        <v/>
      </c>
      <c r="J517" s="42" t="str">
        <f>'REV &amp; COGS'!I98</f>
        <v/>
      </c>
      <c r="K517" s="11" t="str">
        <f>'REV &amp; COGS'!J98</f>
        <v/>
      </c>
    </row>
    <row r="518" spans="2:11" ht="12.3" hidden="1">
      <c r="B518" s="10" t="str">
        <f>'REV &amp; COGS'!A99</f>
        <v/>
      </c>
      <c r="C518" s="20">
        <f>'REV &amp; COGS'!B99</f>
        <v>0</v>
      </c>
      <c r="D518" s="20">
        <f>'REV &amp; COGS'!C99</f>
        <v>0</v>
      </c>
      <c r="E518" s="19">
        <f>'REV &amp; COGS'!D99</f>
        <v>0</v>
      </c>
      <c r="F518" s="20">
        <f>'REV &amp; COGS'!E99</f>
        <v>0</v>
      </c>
      <c r="G518" s="19">
        <f>'REV &amp; COGS'!F99</f>
        <v>0</v>
      </c>
      <c r="H518" s="20" t="str">
        <f>'REV &amp; COGS'!G99</f>
        <v/>
      </c>
      <c r="I518" s="20" t="str">
        <f>'REV &amp; COGS'!H99</f>
        <v/>
      </c>
      <c r="J518" s="42" t="str">
        <f>'REV &amp; COGS'!I99</f>
        <v/>
      </c>
      <c r="K518" s="11" t="str">
        <f>'REV &amp; COGS'!J99</f>
        <v/>
      </c>
    </row>
    <row r="519" spans="2:11" ht="12.3" hidden="1">
      <c r="B519" s="10" t="str">
        <f>'REV &amp; COGS'!A100</f>
        <v/>
      </c>
      <c r="C519" s="20">
        <f>'REV &amp; COGS'!B100</f>
        <v>0</v>
      </c>
      <c r="D519" s="20">
        <f>'REV &amp; COGS'!C100</f>
        <v>0</v>
      </c>
      <c r="E519" s="19">
        <f>'REV &amp; COGS'!D100</f>
        <v>0</v>
      </c>
      <c r="F519" s="20">
        <f>'REV &amp; COGS'!E100</f>
        <v>0</v>
      </c>
      <c r="G519" s="19">
        <f>'REV &amp; COGS'!F100</f>
        <v>0</v>
      </c>
      <c r="H519" s="20" t="str">
        <f>'REV &amp; COGS'!G100</f>
        <v/>
      </c>
      <c r="I519" s="20" t="str">
        <f>'REV &amp; COGS'!H100</f>
        <v/>
      </c>
      <c r="J519" s="42" t="str">
        <f>'REV &amp; COGS'!I100</f>
        <v/>
      </c>
      <c r="K519" s="11" t="str">
        <f>'REV &amp; COGS'!J100</f>
        <v/>
      </c>
    </row>
    <row r="520" spans="2:11" ht="12.3" hidden="1">
      <c r="B520" s="10" t="str">
        <f>'REV &amp; COGS'!A101</f>
        <v/>
      </c>
      <c r="C520" s="20">
        <f>'REV &amp; COGS'!B101</f>
        <v>0</v>
      </c>
      <c r="D520" s="20">
        <f>'REV &amp; COGS'!C101</f>
        <v>0</v>
      </c>
      <c r="E520" s="19">
        <f>'REV &amp; COGS'!D101</f>
        <v>0</v>
      </c>
      <c r="F520" s="20">
        <f>'REV &amp; COGS'!E101</f>
        <v>0</v>
      </c>
      <c r="G520" s="19">
        <f>'REV &amp; COGS'!F101</f>
        <v>0</v>
      </c>
      <c r="H520" s="20" t="str">
        <f>'REV &amp; COGS'!G101</f>
        <v/>
      </c>
      <c r="I520" s="20" t="str">
        <f>'REV &amp; COGS'!H101</f>
        <v/>
      </c>
      <c r="J520" s="42" t="str">
        <f>'REV &amp; COGS'!I101</f>
        <v/>
      </c>
      <c r="K520" s="11" t="str">
        <f>'REV &amp; COGS'!J101</f>
        <v/>
      </c>
    </row>
    <row r="521" spans="2:11" ht="12.3" hidden="1">
      <c r="B521" s="10" t="str">
        <f>'REV &amp; COGS'!A102</f>
        <v/>
      </c>
      <c r="C521" s="20">
        <f>'REV &amp; COGS'!B102</f>
        <v>0</v>
      </c>
      <c r="D521" s="20">
        <f>'REV &amp; COGS'!C102</f>
        <v>0</v>
      </c>
      <c r="E521" s="19">
        <f>'REV &amp; COGS'!D102</f>
        <v>0</v>
      </c>
      <c r="F521" s="20">
        <f>'REV &amp; COGS'!E102</f>
        <v>0</v>
      </c>
      <c r="G521" s="19">
        <f>'REV &amp; COGS'!F102</f>
        <v>0</v>
      </c>
      <c r="H521" s="20" t="str">
        <f>'REV &amp; COGS'!G102</f>
        <v/>
      </c>
      <c r="I521" s="20" t="str">
        <f>'REV &amp; COGS'!H102</f>
        <v/>
      </c>
      <c r="J521" s="42" t="str">
        <f>'REV &amp; COGS'!I102</f>
        <v/>
      </c>
      <c r="K521" s="11" t="str">
        <f>'REV &amp; COGS'!J102</f>
        <v/>
      </c>
    </row>
    <row r="522" spans="2:11" ht="12.3" hidden="1">
      <c r="B522" s="10" t="str">
        <f>'REV &amp; COGS'!A103</f>
        <v/>
      </c>
      <c r="C522" s="20">
        <f>'REV &amp; COGS'!B103</f>
        <v>0</v>
      </c>
      <c r="D522" s="20">
        <f>'REV &amp; COGS'!C103</f>
        <v>0</v>
      </c>
      <c r="E522" s="19">
        <f>'REV &amp; COGS'!D103</f>
        <v>0</v>
      </c>
      <c r="F522" s="20">
        <f>'REV &amp; COGS'!E103</f>
        <v>0</v>
      </c>
      <c r="G522" s="19">
        <f>'REV &amp; COGS'!F103</f>
        <v>0</v>
      </c>
      <c r="H522" s="20" t="str">
        <f>'REV &amp; COGS'!G103</f>
        <v/>
      </c>
      <c r="I522" s="20" t="str">
        <f>'REV &amp; COGS'!H103</f>
        <v/>
      </c>
      <c r="J522" s="42" t="str">
        <f>'REV &amp; COGS'!I103</f>
        <v/>
      </c>
      <c r="K522" s="11" t="str">
        <f>'REV &amp; COGS'!J103</f>
        <v/>
      </c>
    </row>
    <row r="523" spans="2:11" ht="12.3" hidden="1">
      <c r="B523" s="10" t="str">
        <f>'REV &amp; COGS'!A104</f>
        <v/>
      </c>
      <c r="C523" s="20">
        <f>'REV &amp; COGS'!B104</f>
        <v>0</v>
      </c>
      <c r="D523" s="20">
        <f>'REV &amp; COGS'!C104</f>
        <v>0</v>
      </c>
      <c r="E523" s="19">
        <f>'REV &amp; COGS'!D104</f>
        <v>0</v>
      </c>
      <c r="F523" s="20">
        <f>'REV &amp; COGS'!E104</f>
        <v>0</v>
      </c>
      <c r="G523" s="19">
        <f>'REV &amp; COGS'!F104</f>
        <v>0</v>
      </c>
      <c r="H523" s="20" t="str">
        <f>'REV &amp; COGS'!G104</f>
        <v/>
      </c>
      <c r="I523" s="20" t="str">
        <f>'REV &amp; COGS'!H104</f>
        <v/>
      </c>
      <c r="J523" s="42" t="str">
        <f>'REV &amp; COGS'!I104</f>
        <v/>
      </c>
      <c r="K523" s="11" t="str">
        <f>'REV &amp; COGS'!J104</f>
        <v/>
      </c>
    </row>
    <row r="524" spans="2:11" ht="12.3" hidden="1">
      <c r="B524" s="10" t="str">
        <f>'REV &amp; COGS'!A105</f>
        <v/>
      </c>
      <c r="C524" s="20">
        <f>'REV &amp; COGS'!B105</f>
        <v>0</v>
      </c>
      <c r="D524" s="20">
        <f>'REV &amp; COGS'!C105</f>
        <v>0</v>
      </c>
      <c r="E524" s="19">
        <f>'REV &amp; COGS'!D105</f>
        <v>0</v>
      </c>
      <c r="F524" s="20">
        <f>'REV &amp; COGS'!E105</f>
        <v>0</v>
      </c>
      <c r="G524" s="19">
        <f>'REV &amp; COGS'!F105</f>
        <v>0</v>
      </c>
      <c r="H524" s="20" t="str">
        <f>'REV &amp; COGS'!G105</f>
        <v/>
      </c>
      <c r="I524" s="20" t="str">
        <f>'REV &amp; COGS'!H105</f>
        <v/>
      </c>
      <c r="J524" s="42" t="str">
        <f>'REV &amp; COGS'!I105</f>
        <v/>
      </c>
      <c r="K524" s="11" t="str">
        <f>'REV &amp; COGS'!J105</f>
        <v/>
      </c>
    </row>
    <row r="525" spans="2:11" ht="12.3" hidden="1">
      <c r="B525" s="10" t="str">
        <f>'REV &amp; COGS'!A106</f>
        <v/>
      </c>
      <c r="C525" s="20">
        <f>'REV &amp; COGS'!B106</f>
        <v>0</v>
      </c>
      <c r="D525" s="20">
        <f>'REV &amp; COGS'!C106</f>
        <v>0</v>
      </c>
      <c r="E525" s="19">
        <f>'REV &amp; COGS'!D106</f>
        <v>0</v>
      </c>
      <c r="F525" s="20">
        <f>'REV &amp; COGS'!E106</f>
        <v>0</v>
      </c>
      <c r="G525" s="19">
        <f>'REV &amp; COGS'!F106</f>
        <v>0</v>
      </c>
      <c r="H525" s="20" t="str">
        <f>'REV &amp; COGS'!G106</f>
        <v/>
      </c>
      <c r="I525" s="20" t="str">
        <f>'REV &amp; COGS'!H106</f>
        <v/>
      </c>
      <c r="J525" s="42" t="str">
        <f>'REV &amp; COGS'!I106</f>
        <v/>
      </c>
      <c r="K525" s="11" t="str">
        <f>'REV &amp; COGS'!J106</f>
        <v/>
      </c>
    </row>
    <row r="526" spans="2:11" ht="12.3">
      <c r="B526" s="68" t="str">
        <f>'REV &amp; COGS'!A107</f>
        <v>Totals</v>
      </c>
      <c r="C526" s="70">
        <f>'REV &amp; COGS'!B107</f>
        <v>0</v>
      </c>
      <c r="D526" s="70">
        <f>'REV &amp; COGS'!C107</f>
        <v>0</v>
      </c>
      <c r="E526" s="70">
        <f>'REV &amp; COGS'!D107</f>
        <v>0</v>
      </c>
      <c r="F526" s="70">
        <f>'REV &amp; COGS'!E107</f>
        <v>0</v>
      </c>
      <c r="G526" s="70">
        <f>'REV &amp; COGS'!F107</f>
        <v>0</v>
      </c>
      <c r="H526" s="70">
        <f>'REV &amp; COGS'!G107</f>
        <v>0</v>
      </c>
      <c r="I526" s="70">
        <f>'REV &amp; COGS'!H107</f>
        <v>0</v>
      </c>
      <c r="J526" s="38">
        <f>'REV &amp; COGS'!I107</f>
        <v>156</v>
      </c>
      <c r="K526" s="86">
        <f>'REV &amp; COGS'!J107</f>
        <v>0</v>
      </c>
    </row>
    <row r="527" spans="2:11" ht="12.3">
      <c r="B527">
        <f>'REV &amp; COGS'!A108</f>
        <v>0</v>
      </c>
    </row>
    <row r="528" spans="2:11" ht="12.3">
      <c r="B528" s="199" t="s">
        <v>485</v>
      </c>
      <c r="C528" s="9" t="str">
        <f>'REV &amp; COGS'!G11</f>
        <v>Sale price per lb</v>
      </c>
      <c r="D528" s="200" t="str">
        <f>'Summary Data'!I11</f>
        <v>Year 1</v>
      </c>
      <c r="E528" s="200" t="str">
        <f>'Summary Data'!J11</f>
        <v>Year 2</v>
      </c>
      <c r="F528" s="200" t="str">
        <f>'Summary Data'!K11</f>
        <v>Year 3</v>
      </c>
      <c r="G528" s="200" t="str">
        <f>'Summary Data'!L11</f>
        <v>Year 4</v>
      </c>
    </row>
    <row r="529" spans="2:7" ht="12.3">
      <c r="B529" s="10">
        <f>'REV &amp; COGS'!A10</f>
        <v>0</v>
      </c>
      <c r="C529" s="44">
        <f>'REV &amp; COGS'!G12</f>
        <v>0</v>
      </c>
      <c r="D529" s="11">
        <f>'Summary Data'!I15</f>
        <v>0</v>
      </c>
      <c r="E529" s="11">
        <f>'Summary Data'!J15</f>
        <v>0</v>
      </c>
      <c r="F529" s="11">
        <f>'Summary Data'!K15</f>
        <v>0</v>
      </c>
      <c r="G529" s="11">
        <f>'Summary Data'!L15</f>
        <v>0</v>
      </c>
    </row>
    <row r="530" spans="2:7" ht="12.3">
      <c r="B530">
        <f>'REV &amp; COGS'!A111</f>
        <v>0</v>
      </c>
    </row>
    <row r="531" spans="2:7" ht="12.3">
      <c r="B531">
        <f>'REV &amp; COGS'!A112</f>
        <v>0</v>
      </c>
    </row>
    <row r="532" spans="2:7" ht="12.3">
      <c r="B532">
        <f>'REV &amp; COGS'!A113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249977111117893"/>
    <outlinePr summaryBelow="0" summaryRight="0"/>
  </sheetPr>
  <dimension ref="A1:AB996"/>
  <sheetViews>
    <sheetView showGridLines="0" topLeftCell="A55" zoomScaleNormal="100" workbookViewId="0">
      <selection activeCell="D66" sqref="D66"/>
    </sheetView>
  </sheetViews>
  <sheetFormatPr defaultColWidth="17.27734375" defaultRowHeight="15" customHeight="1"/>
  <cols>
    <col min="1" max="1" width="3.109375" style="279" customWidth="1"/>
    <col min="2" max="2" width="39.5546875" style="279" customWidth="1"/>
    <col min="3" max="3" width="10.27734375" style="279" customWidth="1"/>
    <col min="4" max="4" width="8.0546875" style="281" customWidth="1"/>
    <col min="5" max="5" width="2.71875" style="279" customWidth="1"/>
    <col min="6" max="6" width="20.27734375" style="279" customWidth="1"/>
    <col min="7" max="7" width="9.5546875" style="279" customWidth="1"/>
    <col min="8" max="8" width="10.6640625" style="279" customWidth="1"/>
    <col min="9" max="9" width="11.83203125" style="279" customWidth="1"/>
    <col min="10" max="10" width="11.27734375" style="279" customWidth="1"/>
    <col min="11" max="11" width="10.609375" style="279" customWidth="1"/>
    <col min="12" max="12" width="11.27734375" style="279" customWidth="1"/>
    <col min="13" max="13" width="10.38671875" style="279" customWidth="1"/>
    <col min="14" max="15" width="10.83203125" style="279" customWidth="1"/>
    <col min="16" max="16" width="8.5546875" style="279" customWidth="1"/>
    <col min="17" max="17" width="11.44140625" style="279" customWidth="1"/>
    <col min="18" max="18" width="37.33203125" style="279" customWidth="1"/>
    <col min="19" max="20" width="9.5546875" style="279" customWidth="1"/>
    <col min="21" max="21" width="9.71875" style="279" customWidth="1"/>
    <col min="22" max="22" width="9" style="279" customWidth="1"/>
    <col min="23" max="23" width="9.5546875" style="279" customWidth="1"/>
    <col min="24" max="25" width="10" style="279" customWidth="1"/>
    <col min="26" max="28" width="17.27734375" style="279" customWidth="1"/>
    <col min="29" max="16384" width="17.27734375" style="279"/>
  </cols>
  <sheetData>
    <row r="1" spans="1:28" ht="32.25" customHeight="1" thickBot="1">
      <c r="A1" s="290"/>
      <c r="B1" s="415" t="s">
        <v>209</v>
      </c>
      <c r="C1" s="293"/>
      <c r="D1" s="1234"/>
      <c r="E1" s="416"/>
      <c r="F1" s="417"/>
      <c r="G1" s="416"/>
      <c r="H1" s="418"/>
      <c r="I1" s="418"/>
      <c r="J1" s="418"/>
      <c r="K1" s="418"/>
      <c r="L1" s="419"/>
      <c r="M1" s="418"/>
      <c r="N1" s="418"/>
      <c r="O1" s="418"/>
      <c r="P1" s="291"/>
      <c r="Q1" s="291"/>
      <c r="R1" s="292"/>
      <c r="S1" s="292"/>
      <c r="T1" s="292"/>
      <c r="U1" s="292"/>
      <c r="V1" s="292"/>
      <c r="W1" s="291"/>
      <c r="X1" s="293"/>
      <c r="Y1" s="293"/>
      <c r="Z1" s="294"/>
      <c r="AA1" s="294"/>
      <c r="AB1" s="294"/>
    </row>
    <row r="2" spans="1:28" ht="17.100000000000001" customHeight="1">
      <c r="A2" s="283"/>
      <c r="B2" s="1229" t="s">
        <v>868</v>
      </c>
      <c r="C2" s="1229"/>
      <c r="D2" s="1229"/>
      <c r="E2" s="1229"/>
      <c r="F2" s="1229"/>
      <c r="H2" s="1239" t="s">
        <v>869</v>
      </c>
      <c r="I2" s="1240"/>
      <c r="J2" s="1241">
        <v>6</v>
      </c>
      <c r="K2" s="418"/>
      <c r="L2" s="1242" t="s">
        <v>870</v>
      </c>
      <c r="M2" s="1240"/>
      <c r="N2" s="1241">
        <v>8</v>
      </c>
      <c r="O2" s="418"/>
      <c r="P2" s="291"/>
      <c r="Q2" s="291"/>
      <c r="R2" s="292"/>
      <c r="S2" s="292"/>
      <c r="T2" s="292"/>
      <c r="U2" s="292"/>
      <c r="V2" s="292"/>
      <c r="W2" s="291"/>
      <c r="X2" s="293"/>
      <c r="Y2" s="293"/>
      <c r="Z2" s="294"/>
      <c r="AA2" s="294"/>
      <c r="AB2" s="294"/>
    </row>
    <row r="3" spans="1:28" s="281" customFormat="1" ht="17.100000000000001" customHeight="1" thickBot="1">
      <c r="A3" s="1230"/>
      <c r="B3" s="1228"/>
      <c r="C3" s="1228"/>
      <c r="D3" s="1228"/>
      <c r="E3" s="1228"/>
      <c r="F3" s="1228"/>
      <c r="H3" s="1236" t="s">
        <v>227</v>
      </c>
      <c r="I3" s="1237"/>
      <c r="J3" s="1238"/>
      <c r="K3" s="1231"/>
      <c r="L3" s="1236" t="s">
        <v>227</v>
      </c>
      <c r="M3" s="1237"/>
      <c r="N3" s="1238"/>
      <c r="O3" s="1231"/>
      <c r="P3" s="1232"/>
      <c r="Q3" s="1232"/>
      <c r="R3" s="1233"/>
      <c r="S3" s="1233"/>
      <c r="T3" s="1233"/>
      <c r="U3" s="1233"/>
      <c r="V3" s="1233"/>
      <c r="W3" s="1232"/>
      <c r="X3" s="1234"/>
      <c r="Y3" s="1234"/>
      <c r="Z3" s="1235"/>
      <c r="AA3" s="1235"/>
      <c r="AB3" s="1235"/>
    </row>
    <row r="4" spans="1:28" ht="51.3" customHeight="1">
      <c r="A4" s="295"/>
      <c r="B4" s="1475" t="s">
        <v>917</v>
      </c>
      <c r="C4" s="1475"/>
      <c r="D4" s="1475"/>
      <c r="E4" s="1475"/>
      <c r="F4" s="1475"/>
      <c r="G4" s="1475"/>
      <c r="H4" s="420"/>
      <c r="J4" s="421"/>
      <c r="K4" s="421"/>
      <c r="L4" s="422"/>
      <c r="N4" s="421"/>
      <c r="O4" s="420"/>
      <c r="P4" s="294"/>
      <c r="Q4" s="294"/>
      <c r="R4" s="294"/>
      <c r="S4" s="294"/>
      <c r="T4" s="294"/>
      <c r="U4" s="294"/>
      <c r="V4" s="294"/>
      <c r="W4" s="294"/>
      <c r="X4" s="294"/>
      <c r="Y4" s="294"/>
      <c r="Z4" s="294"/>
      <c r="AA4" s="294"/>
      <c r="AB4" s="294"/>
    </row>
    <row r="5" spans="1:28" s="1328" customFormat="1" ht="17.7" customHeight="1">
      <c r="A5" s="1361"/>
      <c r="B5" s="1364" t="s">
        <v>918</v>
      </c>
      <c r="E5" s="1327"/>
      <c r="F5" s="1363" t="s">
        <v>919</v>
      </c>
      <c r="G5" s="1327"/>
      <c r="H5" s="420"/>
      <c r="J5" s="421"/>
      <c r="K5" s="421"/>
      <c r="L5" s="422"/>
      <c r="N5" s="421"/>
      <c r="O5" s="420"/>
      <c r="P5" s="294"/>
      <c r="Q5" s="1362"/>
      <c r="R5" s="294"/>
      <c r="S5" s="294"/>
      <c r="T5" s="294"/>
      <c r="U5" s="294"/>
      <c r="V5" s="294"/>
      <c r="W5" s="294"/>
      <c r="X5" s="294"/>
      <c r="Y5" s="294"/>
      <c r="Z5" s="294"/>
      <c r="AA5" s="294"/>
      <c r="AB5" s="294"/>
    </row>
    <row r="6" spans="1:28" ht="27.6" customHeight="1">
      <c r="A6" s="296"/>
      <c r="B6" s="1365" t="s">
        <v>756</v>
      </c>
      <c r="C6" s="1367">
        <v>2</v>
      </c>
      <c r="D6" s="1453"/>
      <c r="E6" s="293"/>
      <c r="F6" s="1476" t="s">
        <v>712</v>
      </c>
      <c r="G6" s="1477"/>
      <c r="H6" s="1477"/>
      <c r="I6" s="1477"/>
      <c r="J6" s="1477"/>
      <c r="K6" s="1477"/>
      <c r="L6" s="1477"/>
      <c r="M6" s="1477"/>
      <c r="N6" s="1477"/>
      <c r="O6" s="1478"/>
      <c r="P6" s="294"/>
    </row>
    <row r="7" spans="1:28" ht="24.6">
      <c r="A7" s="297"/>
      <c r="B7" s="434" t="s">
        <v>924</v>
      </c>
      <c r="C7" s="1368">
        <v>8</v>
      </c>
      <c r="D7" s="978" t="str">
        <f>IF('Please Read First'!$C$11="Metric", "m", "ft")</f>
        <v>ft</v>
      </c>
      <c r="E7" s="289"/>
      <c r="F7" s="371" t="s">
        <v>252</v>
      </c>
      <c r="G7" s="423" t="s">
        <v>753</v>
      </c>
      <c r="H7" s="424" t="s">
        <v>253</v>
      </c>
      <c r="I7" s="424" t="s">
        <v>254</v>
      </c>
      <c r="J7" s="423" t="str">
        <f>IF('Please Read First'!$C$11="Metric", "Plant Density per m2", "Plant Density per ft2")</f>
        <v>Plant Density per ft2</v>
      </c>
      <c r="K7" s="424" t="s">
        <v>255</v>
      </c>
      <c r="L7" s="425" t="s">
        <v>256</v>
      </c>
      <c r="M7" s="424" t="s">
        <v>255</v>
      </c>
      <c r="N7" s="426" t="s">
        <v>257</v>
      </c>
      <c r="O7" s="426" t="s">
        <v>258</v>
      </c>
      <c r="P7" s="294"/>
    </row>
    <row r="8" spans="1:28" ht="12.3">
      <c r="A8" s="297"/>
      <c r="B8" s="434" t="s">
        <v>925</v>
      </c>
      <c r="C8" s="1368">
        <v>80</v>
      </c>
      <c r="D8" s="978" t="str">
        <f>IF('Please Read First'!$C$11="Metric", "m", "ft")</f>
        <v>ft</v>
      </c>
      <c r="E8" s="428"/>
      <c r="F8" s="429" t="s">
        <v>261</v>
      </c>
      <c r="G8" s="430">
        <v>50</v>
      </c>
      <c r="H8" s="386">
        <f>IF(G8="","",IF($G$22="Error - SUM Exceeds Total # or Rafts in C18","Error",IF(G8="","",G8/$G$22)))</f>
        <v>0.3125</v>
      </c>
      <c r="I8" s="430">
        <v>28</v>
      </c>
      <c r="J8" s="431">
        <f>IF($C$13=0,"",IF(I8="","",I8/$C$13))</f>
        <v>3.5</v>
      </c>
      <c r="K8" s="311">
        <f t="shared" ref="K8:K13" si="0">IF(G8="","",IF(I8="","",G8*I8))</f>
        <v>1400</v>
      </c>
      <c r="L8" s="432">
        <v>5</v>
      </c>
      <c r="M8" s="311">
        <f t="shared" ref="M8:M13" si="1">IF(K8="","",IF(L8="", "",IF(G8="","", (26/L8*K8))))</f>
        <v>7280</v>
      </c>
      <c r="N8" s="433">
        <v>0.05</v>
      </c>
      <c r="O8" s="318">
        <f t="shared" ref="O8:O13" si="2">IF(M8="","",M8*(1-N8))</f>
        <v>6916</v>
      </c>
      <c r="P8" s="294"/>
    </row>
    <row r="9" spans="1:28" ht="12.3">
      <c r="A9" s="297"/>
      <c r="B9" s="434" t="s">
        <v>926</v>
      </c>
      <c r="C9" s="1394">
        <f>C8*C7*C6</f>
        <v>1280</v>
      </c>
      <c r="D9" s="1454" t="str">
        <f>IF('Please Read First'!$C$11="Metric","m2", "ft2")</f>
        <v>ft2</v>
      </c>
      <c r="E9" s="428"/>
      <c r="F9" s="429" t="s">
        <v>326</v>
      </c>
      <c r="G9" s="430">
        <v>50</v>
      </c>
      <c r="H9" s="386">
        <f t="shared" ref="H9:H21" si="3">IF(G9="","",IF($G$22="Error - SUM Exceeds Total # or Rafts in C18","Error",IF(G9="","",G9/$G$22)))</f>
        <v>0.3125</v>
      </c>
      <c r="I9" s="430">
        <v>20</v>
      </c>
      <c r="J9" s="431">
        <f t="shared" ref="J9:J21" si="4">IF($C$13=0,"",IF(I9="","",I9/$C$13))</f>
        <v>2.5</v>
      </c>
      <c r="K9" s="311">
        <f t="shared" si="0"/>
        <v>1000</v>
      </c>
      <c r="L9" s="432">
        <v>5</v>
      </c>
      <c r="M9" s="311">
        <f t="shared" si="1"/>
        <v>5200</v>
      </c>
      <c r="N9" s="433">
        <v>0.05</v>
      </c>
      <c r="O9" s="318">
        <f t="shared" si="2"/>
        <v>4940</v>
      </c>
      <c r="P9" s="294"/>
    </row>
    <row r="10" spans="1:28" ht="12.3">
      <c r="A10" s="296"/>
      <c r="B10" s="1390" t="s">
        <v>927</v>
      </c>
      <c r="C10" s="1396">
        <v>12</v>
      </c>
      <c r="D10" s="1454" t="str">
        <f>IF('Please Read First'!$C$11="Metric","cm", "in")</f>
        <v>in</v>
      </c>
      <c r="E10" s="428"/>
      <c r="F10" s="429" t="s">
        <v>342</v>
      </c>
      <c r="G10" s="430">
        <v>20</v>
      </c>
      <c r="H10" s="386">
        <f t="shared" si="3"/>
        <v>0.125</v>
      </c>
      <c r="I10" s="430">
        <v>24</v>
      </c>
      <c r="J10" s="431">
        <f t="shared" si="4"/>
        <v>3</v>
      </c>
      <c r="K10" s="311">
        <f t="shared" si="0"/>
        <v>480</v>
      </c>
      <c r="L10" s="432">
        <v>4.5</v>
      </c>
      <c r="M10" s="311">
        <f t="shared" si="1"/>
        <v>2773.3333333333335</v>
      </c>
      <c r="N10" s="433">
        <v>0.05</v>
      </c>
      <c r="O10" s="318">
        <f t="shared" si="2"/>
        <v>2634.6666666666665</v>
      </c>
      <c r="P10" s="294"/>
    </row>
    <row r="11" spans="1:28" ht="12.3">
      <c r="A11" s="296"/>
      <c r="B11" s="976" t="s">
        <v>920</v>
      </c>
      <c r="C11" s="1469">
        <v>4</v>
      </c>
      <c r="D11" s="978" t="str">
        <f>IF('Please Read First'!$C$11="Metric", "m", "ft")</f>
        <v>ft</v>
      </c>
      <c r="E11" s="428"/>
      <c r="F11" s="429" t="s">
        <v>343</v>
      </c>
      <c r="G11" s="430">
        <v>20</v>
      </c>
      <c r="H11" s="386">
        <f t="shared" si="3"/>
        <v>0.125</v>
      </c>
      <c r="I11" s="430">
        <v>24</v>
      </c>
      <c r="J11" s="431">
        <f t="shared" si="4"/>
        <v>3</v>
      </c>
      <c r="K11" s="311">
        <f t="shared" si="0"/>
        <v>480</v>
      </c>
      <c r="L11" s="432">
        <v>4</v>
      </c>
      <c r="M11" s="311">
        <f t="shared" si="1"/>
        <v>3120</v>
      </c>
      <c r="N11" s="433">
        <v>0.05</v>
      </c>
      <c r="O11" s="318">
        <f t="shared" si="2"/>
        <v>2964</v>
      </c>
      <c r="P11" s="294"/>
    </row>
    <row r="12" spans="1:28" ht="12.3">
      <c r="A12" s="298"/>
      <c r="B12" s="976" t="s">
        <v>921</v>
      </c>
      <c r="C12" s="1469">
        <v>2</v>
      </c>
      <c r="D12" s="978" t="str">
        <f>IF('Please Read First'!$C$11="Metric", "m", "ft")</f>
        <v>ft</v>
      </c>
      <c r="E12" s="428"/>
      <c r="F12" s="429" t="s">
        <v>347</v>
      </c>
      <c r="G12" s="430">
        <v>20</v>
      </c>
      <c r="H12" s="386">
        <f t="shared" si="3"/>
        <v>0.125</v>
      </c>
      <c r="I12" s="430">
        <v>24</v>
      </c>
      <c r="J12" s="431">
        <f t="shared" si="4"/>
        <v>3</v>
      </c>
      <c r="K12" s="311">
        <f t="shared" si="0"/>
        <v>480</v>
      </c>
      <c r="L12" s="432">
        <v>5</v>
      </c>
      <c r="M12" s="311">
        <f t="shared" si="1"/>
        <v>2496</v>
      </c>
      <c r="N12" s="433">
        <v>0.05</v>
      </c>
      <c r="O12" s="318">
        <f t="shared" si="2"/>
        <v>2371.1999999999998</v>
      </c>
      <c r="P12" s="294"/>
    </row>
    <row r="13" spans="1:28" ht="12.3">
      <c r="A13" s="296"/>
      <c r="B13" s="976" t="s">
        <v>922</v>
      </c>
      <c r="C13" s="1430">
        <f>C11*C12</f>
        <v>8</v>
      </c>
      <c r="D13" s="1454" t="str">
        <f>IF('Please Read First'!$C$11="Metric","m2", "ft2")</f>
        <v>ft2</v>
      </c>
      <c r="E13" s="293"/>
      <c r="F13" s="435"/>
      <c r="G13" s="430"/>
      <c r="H13" s="386" t="str">
        <f t="shared" si="3"/>
        <v/>
      </c>
      <c r="I13" s="430"/>
      <c r="J13" s="431" t="str">
        <f t="shared" si="4"/>
        <v/>
      </c>
      <c r="K13" s="311" t="str">
        <f t="shared" si="0"/>
        <v/>
      </c>
      <c r="L13" s="432"/>
      <c r="M13" s="311" t="str">
        <f t="shared" si="1"/>
        <v/>
      </c>
      <c r="N13" s="433"/>
      <c r="O13" s="318" t="str">
        <f t="shared" si="2"/>
        <v/>
      </c>
      <c r="P13" s="294"/>
    </row>
    <row r="14" spans="1:28" ht="12.3">
      <c r="A14" s="297"/>
      <c r="B14" s="1392" t="s">
        <v>923</v>
      </c>
      <c r="C14" s="1393">
        <f>IFERROR(ROUNDUP(C9/C13,0),"")</f>
        <v>160</v>
      </c>
      <c r="D14" s="1383"/>
      <c r="E14" s="289"/>
      <c r="F14" s="429"/>
      <c r="G14" s="436"/>
      <c r="H14" s="386" t="str">
        <f t="shared" si="3"/>
        <v/>
      </c>
      <c r="I14" s="430"/>
      <c r="J14" s="431" t="str">
        <f t="shared" si="4"/>
        <v/>
      </c>
      <c r="K14" s="311" t="str">
        <f t="shared" ref="K14:K21" si="5">IF(G14="","",IF(I14="","",G14*I14))</f>
        <v/>
      </c>
      <c r="L14" s="432"/>
      <c r="M14" s="311" t="str">
        <f t="shared" ref="M14:M21" si="6">IF(K14="","",IF(L14="", "",IF(G14="","", (26/L14*K14))))</f>
        <v/>
      </c>
      <c r="N14" s="433"/>
      <c r="O14" s="318" t="str">
        <f t="shared" ref="O14:O21" si="7">IF(M14="","",M14*(1-N14))</f>
        <v/>
      </c>
    </row>
    <row r="15" spans="1:28" ht="12.3">
      <c r="A15" s="296"/>
      <c r="B15" s="976" t="s">
        <v>871</v>
      </c>
      <c r="C15" s="1400">
        <v>28</v>
      </c>
      <c r="D15" s="1384"/>
      <c r="E15" s="289"/>
      <c r="F15" s="429"/>
      <c r="G15" s="436"/>
      <c r="H15" s="386" t="str">
        <f t="shared" si="3"/>
        <v/>
      </c>
      <c r="I15" s="430"/>
      <c r="J15" s="431" t="str">
        <f t="shared" si="4"/>
        <v/>
      </c>
      <c r="K15" s="311" t="str">
        <f t="shared" si="5"/>
        <v/>
      </c>
      <c r="L15" s="432"/>
      <c r="M15" s="311" t="str">
        <f t="shared" si="6"/>
        <v/>
      </c>
      <c r="N15" s="433"/>
      <c r="O15" s="318" t="str">
        <f t="shared" si="7"/>
        <v/>
      </c>
    </row>
    <row r="16" spans="1:28" ht="12.3">
      <c r="A16" s="296"/>
      <c r="B16" s="1395" t="s">
        <v>928</v>
      </c>
      <c r="C16" s="1370">
        <f>IFERROR(C15/C13, "")</f>
        <v>3.5</v>
      </c>
      <c r="D16" s="1454" t="str">
        <f>IF('Please Read First'!$C$11="Metric","m2", "ft2")</f>
        <v>ft2</v>
      </c>
      <c r="E16" s="289"/>
      <c r="F16" s="429"/>
      <c r="G16" s="436"/>
      <c r="H16" s="386" t="str">
        <f t="shared" si="3"/>
        <v/>
      </c>
      <c r="I16" s="430"/>
      <c r="J16" s="431" t="str">
        <f t="shared" si="4"/>
        <v/>
      </c>
      <c r="K16" s="311" t="str">
        <f t="shared" si="5"/>
        <v/>
      </c>
      <c r="L16" s="432"/>
      <c r="M16" s="311" t="str">
        <f t="shared" si="6"/>
        <v/>
      </c>
      <c r="N16" s="433"/>
      <c r="O16" s="318" t="str">
        <f t="shared" si="7"/>
        <v/>
      </c>
      <c r="Q16" s="299"/>
      <c r="R16" s="300"/>
      <c r="S16" s="300"/>
      <c r="T16" s="300"/>
      <c r="U16" s="300"/>
      <c r="V16" s="300"/>
      <c r="W16" s="299"/>
    </row>
    <row r="17" spans="1:23" ht="12.3">
      <c r="A17" s="296"/>
      <c r="B17" s="336" t="s">
        <v>442</v>
      </c>
      <c r="C17" s="1369">
        <f>IFERROR(C16*C9, "")</f>
        <v>4480</v>
      </c>
      <c r="D17" s="1382"/>
      <c r="E17" s="289"/>
      <c r="F17" s="429"/>
      <c r="G17" s="436"/>
      <c r="H17" s="386" t="str">
        <f t="shared" si="3"/>
        <v/>
      </c>
      <c r="I17" s="430"/>
      <c r="J17" s="431" t="str">
        <f t="shared" si="4"/>
        <v/>
      </c>
      <c r="K17" s="311" t="str">
        <f t="shared" si="5"/>
        <v/>
      </c>
      <c r="L17" s="432"/>
      <c r="M17" s="311" t="str">
        <f t="shared" si="6"/>
        <v/>
      </c>
      <c r="N17" s="433"/>
      <c r="O17" s="318" t="str">
        <f t="shared" si="7"/>
        <v/>
      </c>
      <c r="Q17" s="299"/>
      <c r="R17" s="300"/>
      <c r="S17" s="300"/>
      <c r="T17" s="300"/>
      <c r="U17" s="300"/>
      <c r="V17" s="300"/>
      <c r="W17" s="299"/>
    </row>
    <row r="18" spans="1:23" ht="12.3">
      <c r="A18" s="298"/>
      <c r="B18" s="427" t="s">
        <v>444</v>
      </c>
      <c r="C18" s="1371">
        <v>4</v>
      </c>
      <c r="D18" s="1455"/>
      <c r="E18" s="289"/>
      <c r="F18" s="429"/>
      <c r="G18" s="436"/>
      <c r="H18" s="386" t="str">
        <f t="shared" si="3"/>
        <v/>
      </c>
      <c r="I18" s="430"/>
      <c r="J18" s="431" t="str">
        <f t="shared" si="4"/>
        <v/>
      </c>
      <c r="K18" s="311" t="str">
        <f t="shared" si="5"/>
        <v/>
      </c>
      <c r="L18" s="432"/>
      <c r="M18" s="311" t="str">
        <f t="shared" si="6"/>
        <v/>
      </c>
      <c r="N18" s="433"/>
      <c r="O18" s="318" t="str">
        <f t="shared" si="7"/>
        <v/>
      </c>
    </row>
    <row r="19" spans="1:23" ht="12.3">
      <c r="A19" s="296"/>
      <c r="B19" s="336" t="s">
        <v>95</v>
      </c>
      <c r="C19" s="1372">
        <f>IFERROR(52/C18, "")</f>
        <v>13</v>
      </c>
      <c r="D19" s="1385"/>
      <c r="E19" s="293"/>
      <c r="F19" s="429"/>
      <c r="G19" s="436"/>
      <c r="H19" s="386" t="str">
        <f t="shared" si="3"/>
        <v/>
      </c>
      <c r="I19" s="430"/>
      <c r="J19" s="431" t="str">
        <f t="shared" si="4"/>
        <v/>
      </c>
      <c r="K19" s="311" t="str">
        <f t="shared" si="5"/>
        <v/>
      </c>
      <c r="L19" s="432"/>
      <c r="M19" s="311" t="str">
        <f t="shared" si="6"/>
        <v/>
      </c>
      <c r="N19" s="433"/>
      <c r="O19" s="318" t="str">
        <f t="shared" si="7"/>
        <v/>
      </c>
    </row>
    <row r="20" spans="1:23" ht="12.3">
      <c r="A20" s="301"/>
      <c r="B20" s="336" t="s">
        <v>445</v>
      </c>
      <c r="C20" s="1369">
        <f>IFERROR(C19*C17, "")</f>
        <v>58240</v>
      </c>
      <c r="D20" s="1382"/>
      <c r="E20" s="289"/>
      <c r="F20" s="429"/>
      <c r="G20" s="436"/>
      <c r="H20" s="386" t="str">
        <f t="shared" si="3"/>
        <v/>
      </c>
      <c r="I20" s="430"/>
      <c r="J20" s="431" t="str">
        <f t="shared" si="4"/>
        <v/>
      </c>
      <c r="K20" s="311" t="str">
        <f t="shared" si="5"/>
        <v/>
      </c>
      <c r="L20" s="432"/>
      <c r="M20" s="311" t="str">
        <f t="shared" si="6"/>
        <v/>
      </c>
      <c r="N20" s="433"/>
      <c r="O20" s="318" t="str">
        <f t="shared" si="7"/>
        <v/>
      </c>
    </row>
    <row r="21" spans="1:23" ht="12.3">
      <c r="A21" s="302"/>
      <c r="B21" s="696" t="s">
        <v>811</v>
      </c>
      <c r="C21" s="1373">
        <v>0.1</v>
      </c>
      <c r="D21" s="1456"/>
      <c r="E21" s="289"/>
      <c r="F21" s="429"/>
      <c r="G21" s="436"/>
      <c r="H21" s="386" t="str">
        <f t="shared" si="3"/>
        <v/>
      </c>
      <c r="I21" s="430"/>
      <c r="J21" s="431" t="str">
        <f t="shared" si="4"/>
        <v/>
      </c>
      <c r="K21" s="311" t="str">
        <f t="shared" si="5"/>
        <v/>
      </c>
      <c r="L21" s="432"/>
      <c r="M21" s="311" t="str">
        <f t="shared" si="6"/>
        <v/>
      </c>
      <c r="N21" s="433"/>
      <c r="O21" s="318" t="str">
        <f t="shared" si="7"/>
        <v/>
      </c>
      <c r="P21" s="294"/>
    </row>
    <row r="22" spans="1:23" ht="12.3">
      <c r="A22" s="298"/>
      <c r="B22" s="445" t="s">
        <v>447</v>
      </c>
      <c r="C22" s="1374">
        <f>IFERROR(C20*(1-C21),"")</f>
        <v>52416</v>
      </c>
      <c r="D22" s="1386"/>
      <c r="E22" s="289"/>
      <c r="F22" s="440" t="s">
        <v>749</v>
      </c>
      <c r="G22" s="442">
        <f>IF(SUM(G8:G21)&gt;C14, "Error", SUM(G8:G21))</f>
        <v>160</v>
      </c>
      <c r="H22" s="441"/>
      <c r="I22" s="442"/>
      <c r="J22" s="442"/>
      <c r="K22" s="443">
        <f>SUM(K8:K21)</f>
        <v>3840</v>
      </c>
      <c r="L22" s="444">
        <f>IFERROR(AVERAGE(L8:L21),"")</f>
        <v>4.7</v>
      </c>
      <c r="M22" s="443">
        <f>SUM(M8:M21)</f>
        <v>20869.333333333336</v>
      </c>
      <c r="N22" s="352"/>
      <c r="O22" s="443">
        <f>SUM(O8:O21)</f>
        <v>19825.866666666665</v>
      </c>
      <c r="P22" s="294"/>
    </row>
    <row r="23" spans="1:23" ht="12.3">
      <c r="A23" s="296"/>
      <c r="B23" s="449" t="s">
        <v>448</v>
      </c>
      <c r="C23" s="1375">
        <f>IFERROR(C22/12, "")</f>
        <v>4368</v>
      </c>
      <c r="D23" s="1387"/>
      <c r="E23" s="289"/>
      <c r="F23" s="446"/>
      <c r="G23" s="1227" t="str">
        <f>IF(SUM(G8:G21)&gt;C14, "SUM Exceeds Total # or Raft Boards", "")</f>
        <v/>
      </c>
      <c r="H23" s="293"/>
      <c r="I23" s="293"/>
      <c r="J23" s="293"/>
      <c r="K23" s="293"/>
      <c r="L23" s="447"/>
      <c r="M23" s="293"/>
      <c r="N23" s="293"/>
      <c r="O23" s="293"/>
      <c r="P23" s="291"/>
    </row>
    <row r="24" spans="1:23" ht="12.3">
      <c r="A24" s="296"/>
      <c r="B24" s="449" t="s">
        <v>449</v>
      </c>
      <c r="C24" s="1375">
        <f>IFERROR(C22/52, "")</f>
        <v>1008</v>
      </c>
      <c r="D24" s="1387"/>
      <c r="E24" s="293"/>
      <c r="P24" s="291"/>
    </row>
    <row r="25" spans="1:23" ht="12.3">
      <c r="A25" s="296"/>
      <c r="B25" s="1131" t="s">
        <v>813</v>
      </c>
      <c r="C25" s="1376">
        <v>2</v>
      </c>
      <c r="D25" s="1457"/>
      <c r="E25" s="289"/>
      <c r="P25" s="294"/>
    </row>
    <row r="26" spans="1:23" ht="12.3">
      <c r="A26" s="298"/>
      <c r="B26" s="450" t="s">
        <v>451</v>
      </c>
      <c r="C26" s="1377">
        <f>IFERROR(C25*C22, "")</f>
        <v>104832</v>
      </c>
      <c r="D26" s="1388"/>
      <c r="E26" s="289"/>
      <c r="F26" s="1479" t="s">
        <v>713</v>
      </c>
      <c r="G26" s="1477"/>
      <c r="H26" s="1477"/>
      <c r="I26" s="1477"/>
      <c r="J26" s="1477"/>
      <c r="K26" s="1477"/>
      <c r="L26" s="1477"/>
      <c r="M26" s="1477"/>
      <c r="N26" s="1477"/>
      <c r="O26" s="1478"/>
      <c r="P26" s="294"/>
    </row>
    <row r="27" spans="1:23" ht="24.6">
      <c r="A27" s="303"/>
      <c r="B27" s="696" t="s">
        <v>929</v>
      </c>
      <c r="C27" s="1378">
        <f>IFERROR(C26/C9, "")</f>
        <v>81.900000000000006</v>
      </c>
      <c r="D27" s="1454" t="str">
        <f>IF('Please Read First'!$C$11="Metric","m2", "ft2")</f>
        <v>ft2</v>
      </c>
      <c r="E27" s="293"/>
      <c r="F27" s="371" t="s">
        <v>252</v>
      </c>
      <c r="G27" s="423" t="s">
        <v>753</v>
      </c>
      <c r="H27" s="424" t="s">
        <v>253</v>
      </c>
      <c r="I27" s="424" t="s">
        <v>254</v>
      </c>
      <c r="J27" s="423" t="str">
        <f>IF('Please Read First'!$C$11="Metric", "Plant Density per m2", "Plant Density per ft2")</f>
        <v>Plant Density per ft2</v>
      </c>
      <c r="K27" s="424" t="s">
        <v>255</v>
      </c>
      <c r="L27" s="425" t="s">
        <v>256</v>
      </c>
      <c r="M27" s="424" t="s">
        <v>255</v>
      </c>
      <c r="N27" s="426" t="s">
        <v>257</v>
      </c>
      <c r="O27" s="426" t="s">
        <v>258</v>
      </c>
      <c r="P27" s="294"/>
    </row>
    <row r="28" spans="1:23" ht="20.25" customHeight="1">
      <c r="A28" s="296"/>
      <c r="B28" s="696" t="s">
        <v>930</v>
      </c>
      <c r="C28" s="1379">
        <f>IFERROR(C9/'Startup Costs'!F4, "")</f>
        <v>0.25600000000000001</v>
      </c>
      <c r="D28" s="1389"/>
      <c r="E28" s="293"/>
      <c r="F28" s="429" t="s">
        <v>261</v>
      </c>
      <c r="G28" s="430"/>
      <c r="H28" s="386" t="str">
        <f>IF(G28="","",IF($G$42="Error - SUM Exceeds Total # or Rafts in C18","Error",IF(G28="","",G28/$G$42)))</f>
        <v/>
      </c>
      <c r="I28" s="430"/>
      <c r="J28" s="431" t="str">
        <f>IF($C$13=0,"",IF(I28="","",I28/$C$13))</f>
        <v/>
      </c>
      <c r="K28" s="311" t="str">
        <f t="shared" ref="K28:K41" si="8">IF(G28="","",IF(I28="","",G28*I28))</f>
        <v/>
      </c>
      <c r="L28" s="432"/>
      <c r="M28" s="311" t="str">
        <f t="shared" ref="M28:M41" si="9">IF(K28="","",IF(L28="", "",IF(G28="","", (26/L28*K28))))</f>
        <v/>
      </c>
      <c r="N28" s="433"/>
      <c r="O28" s="318" t="str">
        <f t="shared" ref="O28:O41" si="10">IF(M28="","",M28*(1-N28))</f>
        <v/>
      </c>
      <c r="P28" s="294"/>
    </row>
    <row r="29" spans="1:23" ht="12" customHeight="1">
      <c r="A29" s="297"/>
      <c r="B29" s="696" t="s">
        <v>931</v>
      </c>
      <c r="C29" s="1380">
        <f>IFERROR(C26/'Startup Costs'!F4, "")</f>
        <v>20.9664</v>
      </c>
      <c r="D29" s="1454" t="str">
        <f>IF('Please Read First'!$C$11="Metric","m2", "ft2")</f>
        <v>ft2</v>
      </c>
      <c r="E29" s="293"/>
      <c r="F29" s="429" t="s">
        <v>326</v>
      </c>
      <c r="G29" s="430"/>
      <c r="H29" s="386" t="str">
        <f t="shared" ref="H29:H41" si="11">IF(G29="","",IF($G$42="Error - SUM Exceeds Total # or Rafts in C18","Error",IF(G29="","",G29/$G$42)))</f>
        <v/>
      </c>
      <c r="I29" s="430"/>
      <c r="J29" s="431" t="str">
        <f t="shared" ref="J29:J41" si="12">IF($C$13=0,"",IF(I29="","",I29/$C$13))</f>
        <v/>
      </c>
      <c r="K29" s="311" t="str">
        <f t="shared" si="8"/>
        <v/>
      </c>
      <c r="L29" s="432"/>
      <c r="M29" s="311" t="str">
        <f t="shared" si="9"/>
        <v/>
      </c>
      <c r="N29" s="433"/>
      <c r="O29" s="318" t="str">
        <f t="shared" si="10"/>
        <v/>
      </c>
      <c r="P29" s="294"/>
    </row>
    <row r="30" spans="1:23" ht="12" customHeight="1">
      <c r="A30" s="297"/>
      <c r="D30" s="1340"/>
      <c r="E30" s="293"/>
      <c r="F30" s="429" t="s">
        <v>342</v>
      </c>
      <c r="G30" s="430"/>
      <c r="H30" s="386" t="str">
        <f t="shared" si="11"/>
        <v/>
      </c>
      <c r="I30" s="430"/>
      <c r="J30" s="431" t="str">
        <f t="shared" si="12"/>
        <v/>
      </c>
      <c r="K30" s="311" t="str">
        <f t="shared" si="8"/>
        <v/>
      </c>
      <c r="L30" s="432"/>
      <c r="M30" s="311" t="str">
        <f t="shared" si="9"/>
        <v/>
      </c>
      <c r="N30" s="433"/>
      <c r="O30" s="318" t="str">
        <f t="shared" si="10"/>
        <v/>
      </c>
      <c r="P30" s="294"/>
    </row>
    <row r="31" spans="1:23" ht="12" customHeight="1">
      <c r="A31" s="297"/>
      <c r="B31" s="1127" t="s">
        <v>452</v>
      </c>
      <c r="C31" s="451"/>
      <c r="D31" s="1343"/>
      <c r="E31" s="293"/>
      <c r="F31" s="429" t="s">
        <v>343</v>
      </c>
      <c r="G31" s="430"/>
      <c r="H31" s="386" t="str">
        <f t="shared" si="11"/>
        <v/>
      </c>
      <c r="I31" s="430"/>
      <c r="J31" s="431" t="str">
        <f t="shared" si="12"/>
        <v/>
      </c>
      <c r="K31" s="311" t="str">
        <f t="shared" si="8"/>
        <v/>
      </c>
      <c r="L31" s="432"/>
      <c r="M31" s="311" t="str">
        <f t="shared" si="9"/>
        <v/>
      </c>
      <c r="N31" s="433"/>
      <c r="O31" s="318" t="str">
        <f t="shared" si="10"/>
        <v/>
      </c>
    </row>
    <row r="32" spans="1:23" ht="12" customHeight="1">
      <c r="A32" s="296"/>
      <c r="B32" s="452" t="s">
        <v>453</v>
      </c>
      <c r="C32" s="1401">
        <v>128</v>
      </c>
      <c r="D32" s="1454"/>
      <c r="E32" s="293"/>
      <c r="F32" s="429" t="s">
        <v>450</v>
      </c>
      <c r="G32" s="430"/>
      <c r="H32" s="386" t="str">
        <f t="shared" si="11"/>
        <v/>
      </c>
      <c r="I32" s="430"/>
      <c r="J32" s="431" t="str">
        <f t="shared" si="12"/>
        <v/>
      </c>
      <c r="K32" s="311" t="str">
        <f t="shared" si="8"/>
        <v/>
      </c>
      <c r="L32" s="432"/>
      <c r="M32" s="311" t="str">
        <f t="shared" si="9"/>
        <v/>
      </c>
      <c r="N32" s="433"/>
      <c r="O32" s="318" t="str">
        <f t="shared" si="10"/>
        <v/>
      </c>
    </row>
    <row r="33" spans="1:23" ht="12" customHeight="1">
      <c r="A33" s="296"/>
      <c r="B33" s="452" t="s">
        <v>454</v>
      </c>
      <c r="C33" s="1402">
        <f>IFERROR(C17/C18, "")</f>
        <v>1120</v>
      </c>
      <c r="D33" s="1408"/>
      <c r="E33" s="293"/>
      <c r="F33" s="429"/>
      <c r="G33" s="430"/>
      <c r="H33" s="386" t="str">
        <f t="shared" si="11"/>
        <v/>
      </c>
      <c r="I33" s="430"/>
      <c r="J33" s="431" t="str">
        <f t="shared" si="12"/>
        <v/>
      </c>
      <c r="K33" s="311" t="str">
        <f t="shared" si="8"/>
        <v/>
      </c>
      <c r="L33" s="432"/>
      <c r="M33" s="311" t="str">
        <f t="shared" si="9"/>
        <v/>
      </c>
      <c r="N33" s="433"/>
      <c r="O33" s="318" t="str">
        <f t="shared" si="10"/>
        <v/>
      </c>
    </row>
    <row r="34" spans="1:23" ht="12" customHeight="1">
      <c r="A34" s="296"/>
      <c r="B34" s="453" t="s">
        <v>455</v>
      </c>
      <c r="C34" s="1403">
        <f>IFERROR(C33/C32, "")</f>
        <v>8.75</v>
      </c>
      <c r="D34" s="1409"/>
      <c r="E34" s="293"/>
      <c r="F34" s="429"/>
      <c r="G34" s="430"/>
      <c r="H34" s="386" t="str">
        <f t="shared" si="11"/>
        <v/>
      </c>
      <c r="I34" s="430"/>
      <c r="J34" s="431" t="str">
        <f t="shared" si="12"/>
        <v/>
      </c>
      <c r="K34" s="311" t="str">
        <f t="shared" si="8"/>
        <v/>
      </c>
      <c r="L34" s="432"/>
      <c r="M34" s="311" t="str">
        <f t="shared" si="9"/>
        <v/>
      </c>
      <c r="N34" s="433"/>
      <c r="O34" s="318" t="str">
        <f t="shared" si="10"/>
        <v/>
      </c>
    </row>
    <row r="35" spans="1:23" ht="12" customHeight="1">
      <c r="A35" s="297"/>
      <c r="B35" s="353" t="s">
        <v>456</v>
      </c>
      <c r="C35" s="1137"/>
      <c r="D35" s="1458"/>
      <c r="E35" s="293"/>
      <c r="F35" s="429"/>
      <c r="G35" s="430"/>
      <c r="H35" s="386" t="str">
        <f t="shared" si="11"/>
        <v/>
      </c>
      <c r="I35" s="430"/>
      <c r="J35" s="431" t="str">
        <f t="shared" si="12"/>
        <v/>
      </c>
      <c r="K35" s="311" t="str">
        <f t="shared" si="8"/>
        <v/>
      </c>
      <c r="L35" s="432"/>
      <c r="M35" s="311" t="str">
        <f t="shared" si="9"/>
        <v/>
      </c>
      <c r="N35" s="433"/>
      <c r="O35" s="318" t="str">
        <f t="shared" si="10"/>
        <v/>
      </c>
    </row>
    <row r="36" spans="1:23" ht="12" customHeight="1">
      <c r="A36" s="296"/>
      <c r="B36" s="463" t="s">
        <v>457</v>
      </c>
      <c r="C36" s="1404">
        <f>IFERROR(C34*(1+C35),"")</f>
        <v>8.75</v>
      </c>
      <c r="D36" s="1410"/>
      <c r="E36" s="293"/>
      <c r="F36" s="429"/>
      <c r="G36" s="430"/>
      <c r="H36" s="386" t="str">
        <f t="shared" si="11"/>
        <v/>
      </c>
      <c r="I36" s="430"/>
      <c r="J36" s="431" t="str">
        <f t="shared" si="12"/>
        <v/>
      </c>
      <c r="K36" s="311" t="str">
        <f t="shared" si="8"/>
        <v/>
      </c>
      <c r="L36" s="432"/>
      <c r="M36" s="311" t="str">
        <f t="shared" si="9"/>
        <v/>
      </c>
      <c r="N36" s="433"/>
      <c r="O36" s="318" t="str">
        <f t="shared" si="10"/>
        <v/>
      </c>
    </row>
    <row r="37" spans="1:23" ht="12" customHeight="1">
      <c r="A37" s="296"/>
      <c r="B37" s="353" t="s">
        <v>458</v>
      </c>
      <c r="C37" s="1405"/>
      <c r="D37" s="1459"/>
      <c r="E37" s="293"/>
      <c r="F37" s="429"/>
      <c r="G37" s="430"/>
      <c r="H37" s="386" t="str">
        <f t="shared" si="11"/>
        <v/>
      </c>
      <c r="I37" s="430"/>
      <c r="J37" s="431" t="str">
        <f t="shared" si="12"/>
        <v/>
      </c>
      <c r="K37" s="311" t="str">
        <f t="shared" si="8"/>
        <v/>
      </c>
      <c r="L37" s="432"/>
      <c r="M37" s="311" t="str">
        <f t="shared" si="9"/>
        <v/>
      </c>
      <c r="N37" s="433"/>
      <c r="O37" s="318" t="str">
        <f t="shared" si="10"/>
        <v/>
      </c>
    </row>
    <row r="38" spans="1:23" ht="12" customHeight="1">
      <c r="A38" s="296"/>
      <c r="B38" s="1123" t="s">
        <v>459</v>
      </c>
      <c r="C38" s="1406">
        <f>IFERROR(C36*C37, "")</f>
        <v>0</v>
      </c>
      <c r="D38" s="1411"/>
      <c r="E38" s="293"/>
      <c r="F38" s="429"/>
      <c r="G38" s="430"/>
      <c r="H38" s="386" t="str">
        <f t="shared" si="11"/>
        <v/>
      </c>
      <c r="I38" s="430"/>
      <c r="J38" s="431" t="str">
        <f t="shared" si="12"/>
        <v/>
      </c>
      <c r="K38" s="311" t="str">
        <f t="shared" si="8"/>
        <v/>
      </c>
      <c r="L38" s="432"/>
      <c r="M38" s="311" t="str">
        <f t="shared" si="9"/>
        <v/>
      </c>
      <c r="N38" s="433"/>
      <c r="O38" s="318" t="str">
        <f t="shared" si="10"/>
        <v/>
      </c>
      <c r="R38" s="300"/>
      <c r="S38" s="300"/>
      <c r="T38" s="300"/>
      <c r="U38" s="300"/>
      <c r="V38" s="300"/>
      <c r="W38" s="299"/>
    </row>
    <row r="39" spans="1:23" ht="12" customHeight="1">
      <c r="A39" s="296"/>
      <c r="B39" s="1124" t="s">
        <v>464</v>
      </c>
      <c r="C39" s="1407">
        <f>IFERROR(C36*52, "")</f>
        <v>455</v>
      </c>
      <c r="D39" s="1412"/>
      <c r="E39" s="293"/>
      <c r="F39" s="429"/>
      <c r="G39" s="430"/>
      <c r="H39" s="386" t="str">
        <f t="shared" si="11"/>
        <v/>
      </c>
      <c r="I39" s="430"/>
      <c r="J39" s="431" t="str">
        <f t="shared" si="12"/>
        <v/>
      </c>
      <c r="K39" s="311" t="str">
        <f t="shared" si="8"/>
        <v/>
      </c>
      <c r="L39" s="432"/>
      <c r="M39" s="311" t="str">
        <f t="shared" si="9"/>
        <v/>
      </c>
      <c r="N39" s="433"/>
      <c r="O39" s="318" t="str">
        <f t="shared" si="10"/>
        <v/>
      </c>
      <c r="Q39" s="299"/>
      <c r="R39" s="300"/>
      <c r="S39" s="300"/>
      <c r="T39" s="300"/>
      <c r="U39" s="300"/>
      <c r="V39" s="300"/>
      <c r="W39" s="299"/>
    </row>
    <row r="40" spans="1:23" ht="12" customHeight="1">
      <c r="A40" s="296"/>
      <c r="D40" s="1340"/>
      <c r="E40" s="293"/>
      <c r="F40" s="429"/>
      <c r="G40" s="430"/>
      <c r="H40" s="386" t="str">
        <f t="shared" si="11"/>
        <v/>
      </c>
      <c r="I40" s="430"/>
      <c r="J40" s="431" t="str">
        <f t="shared" si="12"/>
        <v/>
      </c>
      <c r="K40" s="311" t="str">
        <f t="shared" si="8"/>
        <v/>
      </c>
      <c r="L40" s="432"/>
      <c r="M40" s="311" t="str">
        <f t="shared" si="9"/>
        <v/>
      </c>
      <c r="N40" s="433"/>
      <c r="O40" s="318" t="str">
        <f t="shared" si="10"/>
        <v/>
      </c>
      <c r="P40" s="294"/>
      <c r="Q40" s="299"/>
      <c r="R40" s="300"/>
      <c r="S40" s="300"/>
      <c r="T40" s="300"/>
      <c r="U40" s="300"/>
      <c r="V40" s="300"/>
      <c r="W40" s="299"/>
    </row>
    <row r="41" spans="1:23" ht="12" customHeight="1">
      <c r="A41" s="296"/>
      <c r="D41" s="1340"/>
      <c r="E41" s="293"/>
      <c r="F41" s="429"/>
      <c r="G41" s="430"/>
      <c r="H41" s="386" t="str">
        <f t="shared" si="11"/>
        <v/>
      </c>
      <c r="I41" s="430"/>
      <c r="J41" s="431" t="str">
        <f t="shared" si="12"/>
        <v/>
      </c>
      <c r="K41" s="311" t="str">
        <f t="shared" si="8"/>
        <v/>
      </c>
      <c r="L41" s="432"/>
      <c r="M41" s="311" t="str">
        <f t="shared" si="9"/>
        <v/>
      </c>
      <c r="N41" s="433"/>
      <c r="O41" s="318" t="str">
        <f t="shared" si="10"/>
        <v/>
      </c>
      <c r="P41" s="294"/>
      <c r="Q41" s="299"/>
      <c r="R41" s="300"/>
      <c r="S41" s="300"/>
      <c r="T41" s="300"/>
      <c r="U41" s="300"/>
      <c r="V41" s="300"/>
      <c r="W41" s="299"/>
    </row>
    <row r="42" spans="1:23" ht="12" customHeight="1">
      <c r="A42" s="303"/>
      <c r="B42" s="1047"/>
      <c r="C42" s="1047"/>
      <c r="E42" s="293"/>
      <c r="F42" s="440" t="s">
        <v>749</v>
      </c>
      <c r="G42" s="1226">
        <f>IF(SUM(G28:G41)&gt;C14, "Error", SUM(G28:G41))</f>
        <v>0</v>
      </c>
      <c r="H42" s="453"/>
      <c r="I42" s="454"/>
      <c r="J42" s="454"/>
      <c r="K42" s="443">
        <f>SUM(K28:K41)</f>
        <v>0</v>
      </c>
      <c r="L42" s="455" t="str">
        <f>IFERROR(AVERAGE(L28:L41),"")</f>
        <v/>
      </c>
      <c r="M42" s="456">
        <f>SUM(M28:M41)</f>
        <v>0</v>
      </c>
      <c r="N42" s="442"/>
      <c r="O42" s="456">
        <f>SUM(O28:O41)</f>
        <v>0</v>
      </c>
      <c r="Q42" s="299"/>
      <c r="R42" s="300"/>
      <c r="S42" s="300"/>
      <c r="T42" s="300"/>
      <c r="U42" s="300"/>
      <c r="V42" s="300"/>
      <c r="W42" s="299"/>
    </row>
    <row r="43" spans="1:23" ht="24.6">
      <c r="A43" s="293"/>
      <c r="B43" s="1125" t="s">
        <v>940</v>
      </c>
      <c r="C43" s="1126"/>
      <c r="D43" s="1344"/>
      <c r="E43" s="293"/>
      <c r="F43" s="446"/>
      <c r="G43" s="1227" t="str">
        <f>IF(SUM(G28:G40)&gt;C14, "SUM Exceeds Total # or Raft Boards", "")</f>
        <v/>
      </c>
      <c r="H43" s="292"/>
      <c r="I43" s="291"/>
      <c r="J43" s="457"/>
      <c r="K43" s="458"/>
      <c r="L43" s="457"/>
      <c r="M43" s="458"/>
      <c r="N43" s="292"/>
      <c r="O43" s="458"/>
      <c r="Q43" s="299"/>
      <c r="R43" s="1132"/>
      <c r="S43" s="1132"/>
      <c r="T43" s="300"/>
      <c r="U43" s="300"/>
      <c r="V43" s="300"/>
      <c r="W43" s="299"/>
    </row>
    <row r="44" spans="1:23" ht="12.3">
      <c r="A44" s="293"/>
      <c r="B44" s="434" t="s">
        <v>935</v>
      </c>
      <c r="C44" s="1130">
        <f>C9</f>
        <v>1280</v>
      </c>
      <c r="D44" s="1454" t="str">
        <f>IF('Please Read First'!$C$11="Metric","m2", "ft2")</f>
        <v>ft2</v>
      </c>
      <c r="E44" s="293"/>
      <c r="Q44" s="299"/>
      <c r="R44" s="1133"/>
      <c r="S44" s="1134"/>
      <c r="T44" s="300"/>
      <c r="U44" s="300"/>
      <c r="V44" s="300"/>
      <c r="W44" s="299"/>
    </row>
    <row r="45" spans="1:23" ht="12.3">
      <c r="A45" s="293"/>
      <c r="B45" s="434" t="s">
        <v>933</v>
      </c>
      <c r="C45" s="1397">
        <f>C14</f>
        <v>160</v>
      </c>
      <c r="D45" s="1454"/>
      <c r="E45" s="293"/>
      <c r="F45" s="459" t="s">
        <v>714</v>
      </c>
      <c r="G45" s="460"/>
      <c r="H45" s="461" t="s">
        <v>954</v>
      </c>
      <c r="I45" s="462"/>
      <c r="J45" s="462"/>
      <c r="K45" s="912"/>
      <c r="L45" s="1454" t="str">
        <f>IF('Please Read First'!$C$11="Metric","m2", "ft2")</f>
        <v>ft2</v>
      </c>
      <c r="M45" s="462"/>
      <c r="N45" s="462"/>
      <c r="O45" s="462"/>
      <c r="P45" s="462"/>
      <c r="Q45" s="299"/>
      <c r="R45" s="1133"/>
      <c r="S45" s="1135"/>
      <c r="T45" s="300"/>
      <c r="U45" s="300"/>
      <c r="V45" s="300"/>
      <c r="W45" s="299"/>
    </row>
    <row r="46" spans="1:23" ht="40.200000000000003" customHeight="1">
      <c r="A46" s="293"/>
      <c r="B46" s="434" t="s">
        <v>934</v>
      </c>
      <c r="C46" s="1369">
        <f>IFERROR(C45/4, "")</f>
        <v>40</v>
      </c>
      <c r="D46" s="1382"/>
      <c r="E46" s="293"/>
      <c r="F46" s="464" t="s">
        <v>252</v>
      </c>
      <c r="G46" s="423" t="s">
        <v>754</v>
      </c>
      <c r="H46" s="424" t="s">
        <v>460</v>
      </c>
      <c r="I46" s="424" t="s">
        <v>461</v>
      </c>
      <c r="J46" s="423" t="str">
        <f>IF('Please Read First'!$C$11="Metric", "Plant Density per m2", "Plant Density per ft2")</f>
        <v>Plant Density per ft2</v>
      </c>
      <c r="K46" s="424" t="s">
        <v>462</v>
      </c>
      <c r="L46" s="424" t="s">
        <v>255</v>
      </c>
      <c r="M46" s="425" t="str">
        <f>IF('Please Read First'!$C$11="metric", "Avg yield per plant in kg", "Avg. yield per plant in lbs")</f>
        <v>Avg. yield per plant in lbs</v>
      </c>
      <c r="N46" s="425" t="str">
        <f>IF('Please Read First'!$C$11="metric", "Total kg", "Total lbs")</f>
        <v>Total lbs</v>
      </c>
      <c r="O46" s="426" t="s">
        <v>257</v>
      </c>
      <c r="P46" s="425" t="str">
        <f>IF('Please Read First'!$C$11="metric", "Net kg", "Net lbs")</f>
        <v>Net lbs</v>
      </c>
      <c r="Q46" s="299"/>
      <c r="R46" s="1133"/>
      <c r="S46" s="1135"/>
      <c r="T46" s="300"/>
      <c r="U46" s="300"/>
      <c r="V46" s="300"/>
      <c r="W46" s="299"/>
    </row>
    <row r="47" spans="1:23" ht="16.8" customHeight="1">
      <c r="A47" s="293"/>
      <c r="B47" s="434" t="s">
        <v>812</v>
      </c>
      <c r="C47" s="1398">
        <f>IFERROR(C46/C18, "")</f>
        <v>10</v>
      </c>
      <c r="D47" s="1455"/>
      <c r="E47" s="293"/>
      <c r="F47" s="429" t="s">
        <v>465</v>
      </c>
      <c r="G47" s="430"/>
      <c r="H47" s="386" t="str">
        <f t="shared" ref="H47:H60" si="13">IF(G47="", "", G47/$G$61)</f>
        <v/>
      </c>
      <c r="I47" s="430"/>
      <c r="J47" s="431" t="str">
        <f t="shared" ref="J47:J60" si="14">IF(I47="","",IF(I47=0,0,I47/$K$45))</f>
        <v/>
      </c>
      <c r="K47" s="432"/>
      <c r="L47" s="311" t="str">
        <f>IF(K47="", "", G47*I47*K47)</f>
        <v/>
      </c>
      <c r="M47" s="432"/>
      <c r="N47" s="311" t="str">
        <f>IF(L47="", "", M47*L47)</f>
        <v/>
      </c>
      <c r="O47" s="433"/>
      <c r="P47" s="318" t="str">
        <f>IF(N47="","",N47*(1-O47))</f>
        <v/>
      </c>
      <c r="Q47" s="299"/>
      <c r="R47" s="1133"/>
      <c r="S47" s="1135"/>
      <c r="T47" s="300"/>
      <c r="U47" s="300"/>
      <c r="V47" s="300"/>
      <c r="W47" s="299"/>
    </row>
    <row r="48" spans="1:23" ht="13.5" customHeight="1">
      <c r="A48" s="293"/>
      <c r="B48" s="696" t="s">
        <v>936</v>
      </c>
      <c r="C48" s="1398">
        <f>IFERROR(ROUNDUP(C47,0),"")</f>
        <v>10</v>
      </c>
      <c r="D48" s="1455"/>
      <c r="E48" s="293"/>
      <c r="F48" s="429" t="s">
        <v>466</v>
      </c>
      <c r="G48" s="430"/>
      <c r="H48" s="386" t="str">
        <f t="shared" si="13"/>
        <v/>
      </c>
      <c r="I48" s="430"/>
      <c r="J48" s="431" t="str">
        <f t="shared" si="14"/>
        <v/>
      </c>
      <c r="K48" s="432"/>
      <c r="L48" s="311" t="str">
        <f t="shared" ref="L48:L60" si="15">IF(K48="", "", G48*I48*K48)</f>
        <v/>
      </c>
      <c r="M48" s="432"/>
      <c r="N48" s="311" t="str">
        <f t="shared" ref="N48:N60" si="16">IF(L48="", "", M48*L48)</f>
        <v/>
      </c>
      <c r="O48" s="433"/>
      <c r="P48" s="318" t="str">
        <f t="shared" ref="P48:P60" si="17">IF(N48="","",N48*(1-O48))</f>
        <v/>
      </c>
      <c r="Q48" s="299"/>
      <c r="R48" s="1133"/>
      <c r="S48" s="1135"/>
      <c r="T48" s="300"/>
      <c r="U48" s="300"/>
      <c r="V48" s="300"/>
      <c r="W48" s="299"/>
    </row>
    <row r="49" spans="1:23" ht="16.8" customHeight="1">
      <c r="A49" s="293"/>
      <c r="B49" s="1128" t="s">
        <v>937</v>
      </c>
      <c r="C49" s="1391"/>
      <c r="D49" s="1454"/>
      <c r="E49" s="293"/>
      <c r="F49" s="429" t="s">
        <v>467</v>
      </c>
      <c r="G49" s="430"/>
      <c r="H49" s="386" t="str">
        <f t="shared" si="13"/>
        <v/>
      </c>
      <c r="I49" s="430"/>
      <c r="J49" s="431" t="str">
        <f t="shared" si="14"/>
        <v/>
      </c>
      <c r="K49" s="432"/>
      <c r="L49" s="311" t="str">
        <f t="shared" si="15"/>
        <v/>
      </c>
      <c r="M49" s="432"/>
      <c r="N49" s="311" t="str">
        <f t="shared" si="16"/>
        <v/>
      </c>
      <c r="O49" s="433"/>
      <c r="P49" s="318" t="str">
        <f t="shared" si="17"/>
        <v/>
      </c>
      <c r="Q49" s="299"/>
      <c r="R49" s="1133"/>
      <c r="S49" s="1135"/>
      <c r="T49" s="300"/>
      <c r="U49" s="300"/>
      <c r="V49" s="300"/>
      <c r="W49" s="299"/>
    </row>
    <row r="50" spans="1:23" ht="13.2" customHeight="1">
      <c r="A50" s="293"/>
      <c r="B50" s="976" t="s">
        <v>938</v>
      </c>
      <c r="C50" s="1399">
        <f>IFERROR(ROUNDUP(C48*C49,0),"")</f>
        <v>0</v>
      </c>
      <c r="D50" s="1384"/>
      <c r="E50" s="293"/>
      <c r="F50" s="429" t="s">
        <v>468</v>
      </c>
      <c r="G50" s="430"/>
      <c r="H50" s="386" t="str">
        <f t="shared" si="13"/>
        <v/>
      </c>
      <c r="I50" s="430"/>
      <c r="J50" s="431" t="str">
        <f t="shared" si="14"/>
        <v/>
      </c>
      <c r="K50" s="432"/>
      <c r="L50" s="311" t="str">
        <f t="shared" si="15"/>
        <v/>
      </c>
      <c r="M50" s="432"/>
      <c r="N50" s="311" t="str">
        <f t="shared" si="16"/>
        <v/>
      </c>
      <c r="O50" s="433"/>
      <c r="P50" s="318" t="str">
        <f t="shared" si="17"/>
        <v/>
      </c>
      <c r="Q50" s="299"/>
      <c r="R50" s="1133"/>
      <c r="S50" s="1135"/>
      <c r="T50" s="300"/>
      <c r="U50" s="300"/>
      <c r="V50" s="300"/>
      <c r="W50" s="299"/>
    </row>
    <row r="51" spans="1:23" ht="12.3">
      <c r="A51" s="293"/>
      <c r="B51" s="976" t="s">
        <v>939</v>
      </c>
      <c r="C51" s="1414">
        <f>IF(C50="","",IF('Please Read First'!C11="Metric",'Plant &amp; Fish Production'!C50*0.371,'Plant &amp; Fish Production'!C50*4))</f>
        <v>0</v>
      </c>
      <c r="D51" s="1454" t="str">
        <f>IF('Please Read First'!$C$11="Metric","m2", "ft2")</f>
        <v>ft2</v>
      </c>
      <c r="E51" s="293"/>
      <c r="F51" s="429"/>
      <c r="G51" s="430"/>
      <c r="H51" s="386" t="str">
        <f t="shared" si="13"/>
        <v/>
      </c>
      <c r="I51" s="430"/>
      <c r="J51" s="431" t="str">
        <f t="shared" si="14"/>
        <v/>
      </c>
      <c r="K51" s="432"/>
      <c r="L51" s="311" t="str">
        <f t="shared" si="15"/>
        <v/>
      </c>
      <c r="M51" s="432"/>
      <c r="N51" s="311" t="str">
        <f t="shared" si="16"/>
        <v/>
      </c>
      <c r="O51" s="433"/>
      <c r="P51" s="318" t="str">
        <f t="shared" si="17"/>
        <v/>
      </c>
      <c r="Q51" s="299"/>
      <c r="R51" s="300"/>
      <c r="S51" s="300"/>
      <c r="T51" s="300"/>
      <c r="U51" s="300"/>
      <c r="V51" s="300"/>
      <c r="W51" s="299"/>
    </row>
    <row r="52" spans="1:23" ht="12.3">
      <c r="A52" s="293"/>
      <c r="B52" s="976" t="s">
        <v>944</v>
      </c>
      <c r="C52" s="1400"/>
      <c r="D52" s="1454" t="str">
        <f>IF('Please Read First'!$C$11="Metric","m2", "ft2")</f>
        <v>ft2</v>
      </c>
      <c r="E52" s="293"/>
      <c r="F52" s="429"/>
      <c r="G52" s="430"/>
      <c r="H52" s="386" t="str">
        <f t="shared" si="13"/>
        <v/>
      </c>
      <c r="I52" s="430"/>
      <c r="J52" s="431" t="str">
        <f t="shared" si="14"/>
        <v/>
      </c>
      <c r="K52" s="432"/>
      <c r="L52" s="311" t="str">
        <f t="shared" si="15"/>
        <v/>
      </c>
      <c r="M52" s="432"/>
      <c r="N52" s="311" t="str">
        <f t="shared" si="16"/>
        <v/>
      </c>
      <c r="O52" s="433"/>
      <c r="P52" s="318" t="str">
        <f t="shared" si="17"/>
        <v/>
      </c>
      <c r="Q52" s="299"/>
      <c r="R52" s="300"/>
      <c r="S52" s="300"/>
      <c r="T52" s="300"/>
      <c r="U52" s="300"/>
      <c r="V52" s="300"/>
      <c r="W52" s="299"/>
    </row>
    <row r="53" spans="1:23" ht="12.3">
      <c r="A53" s="293"/>
      <c r="B53" s="976" t="s">
        <v>945</v>
      </c>
      <c r="C53" s="1400"/>
      <c r="D53" s="1454" t="str">
        <f>IF('Please Read First'!$C$11="Metric","cm", "in")</f>
        <v>in</v>
      </c>
      <c r="E53" s="293"/>
      <c r="F53" s="429"/>
      <c r="G53" s="430"/>
      <c r="H53" s="386" t="str">
        <f t="shared" si="13"/>
        <v/>
      </c>
      <c r="I53" s="430"/>
      <c r="J53" s="431" t="str">
        <f t="shared" si="14"/>
        <v/>
      </c>
      <c r="K53" s="432"/>
      <c r="L53" s="311" t="str">
        <f t="shared" si="15"/>
        <v/>
      </c>
      <c r="M53" s="432"/>
      <c r="N53" s="311" t="str">
        <f t="shared" si="16"/>
        <v/>
      </c>
      <c r="O53" s="433"/>
      <c r="P53" s="318" t="str">
        <f t="shared" si="17"/>
        <v/>
      </c>
      <c r="Q53" s="299"/>
      <c r="R53" s="300"/>
      <c r="S53" s="300"/>
      <c r="T53" s="300"/>
      <c r="U53" s="300"/>
      <c r="V53" s="300"/>
      <c r="W53" s="299"/>
    </row>
    <row r="54" spans="1:23" ht="12.3">
      <c r="A54" s="293"/>
      <c r="E54" s="293"/>
      <c r="F54" s="429"/>
      <c r="G54" s="430"/>
      <c r="H54" s="386" t="str">
        <f t="shared" si="13"/>
        <v/>
      </c>
      <c r="I54" s="430"/>
      <c r="J54" s="431" t="str">
        <f t="shared" si="14"/>
        <v/>
      </c>
      <c r="K54" s="432"/>
      <c r="L54" s="311" t="str">
        <f t="shared" si="15"/>
        <v/>
      </c>
      <c r="M54" s="432"/>
      <c r="N54" s="311" t="str">
        <f t="shared" si="16"/>
        <v/>
      </c>
      <c r="O54" s="433"/>
      <c r="P54" s="318" t="str">
        <f t="shared" si="17"/>
        <v/>
      </c>
    </row>
    <row r="55" spans="1:23" ht="12.3">
      <c r="A55" s="293"/>
      <c r="B55" s="1136" t="s">
        <v>469</v>
      </c>
      <c r="C55" s="1360"/>
      <c r="D55" s="1360"/>
      <c r="E55" s="293"/>
      <c r="F55" s="429"/>
      <c r="G55" s="430"/>
      <c r="H55" s="386" t="str">
        <f t="shared" si="13"/>
        <v/>
      </c>
      <c r="I55" s="430"/>
      <c r="J55" s="431" t="str">
        <f t="shared" si="14"/>
        <v/>
      </c>
      <c r="K55" s="432"/>
      <c r="L55" s="311" t="str">
        <f t="shared" si="15"/>
        <v/>
      </c>
      <c r="M55" s="432"/>
      <c r="N55" s="311" t="str">
        <f t="shared" si="16"/>
        <v/>
      </c>
      <c r="O55" s="433"/>
      <c r="P55" s="318" t="str">
        <f t="shared" si="17"/>
        <v/>
      </c>
    </row>
    <row r="56" spans="1:23" ht="12.3">
      <c r="A56" s="293"/>
      <c r="B56" s="1345" t="s">
        <v>947</v>
      </c>
      <c r="C56" s="1358">
        <v>1.5</v>
      </c>
      <c r="D56" s="1454" t="str">
        <f>IF('Please Read First'!$C$11="Metric","kg", "lbs")</f>
        <v>lbs</v>
      </c>
      <c r="E56" s="293"/>
      <c r="F56" s="429"/>
      <c r="G56" s="430"/>
      <c r="H56" s="386" t="str">
        <f t="shared" si="13"/>
        <v/>
      </c>
      <c r="I56" s="430"/>
      <c r="J56" s="431" t="str">
        <f t="shared" si="14"/>
        <v/>
      </c>
      <c r="K56" s="432"/>
      <c r="L56" s="311" t="str">
        <f t="shared" si="15"/>
        <v/>
      </c>
      <c r="M56" s="432"/>
      <c r="N56" s="311" t="str">
        <f t="shared" si="16"/>
        <v/>
      </c>
      <c r="O56" s="433"/>
      <c r="P56" s="318" t="str">
        <f t="shared" si="17"/>
        <v/>
      </c>
    </row>
    <row r="57" spans="1:23" ht="12.3">
      <c r="A57" s="293"/>
      <c r="B57" s="1346" t="s">
        <v>946</v>
      </c>
      <c r="C57" s="1427">
        <v>0.01</v>
      </c>
      <c r="D57" s="1454" t="str">
        <f>IF('Please Read First'!$C$11="Metric","kg", "lbs")</f>
        <v>lbs</v>
      </c>
      <c r="E57" s="293"/>
      <c r="F57" s="429"/>
      <c r="G57" s="430"/>
      <c r="H57" s="386" t="str">
        <f t="shared" si="13"/>
        <v/>
      </c>
      <c r="I57" s="430"/>
      <c r="J57" s="431" t="str">
        <f t="shared" si="14"/>
        <v/>
      </c>
      <c r="K57" s="432"/>
      <c r="L57" s="311" t="str">
        <f t="shared" si="15"/>
        <v/>
      </c>
      <c r="M57" s="432"/>
      <c r="N57" s="311" t="str">
        <f t="shared" si="16"/>
        <v/>
      </c>
      <c r="O57" s="433"/>
      <c r="P57" s="318" t="str">
        <f t="shared" si="17"/>
        <v/>
      </c>
    </row>
    <row r="58" spans="1:23" ht="12.3">
      <c r="A58" s="293"/>
      <c r="B58" s="1346" t="s">
        <v>470</v>
      </c>
      <c r="C58" s="1359">
        <f>C56-C57</f>
        <v>1.49</v>
      </c>
      <c r="D58" s="1454" t="str">
        <f>IF('Please Read First'!$C$11="Metric","kg", "lbs")</f>
        <v>lbs</v>
      </c>
      <c r="E58" s="293"/>
      <c r="F58" s="429"/>
      <c r="G58" s="430"/>
      <c r="H58" s="386" t="str">
        <f t="shared" si="13"/>
        <v/>
      </c>
      <c r="I58" s="430"/>
      <c r="J58" s="431" t="str">
        <f t="shared" si="14"/>
        <v/>
      </c>
      <c r="K58" s="432"/>
      <c r="L58" s="311" t="str">
        <f t="shared" si="15"/>
        <v/>
      </c>
      <c r="M58" s="432"/>
      <c r="N58" s="311" t="str">
        <f t="shared" si="16"/>
        <v/>
      </c>
      <c r="O58" s="433"/>
      <c r="P58" s="318" t="str">
        <f t="shared" si="17"/>
        <v/>
      </c>
    </row>
    <row r="59" spans="1:23" ht="12.3">
      <c r="A59" s="293"/>
      <c r="B59" s="1347" t="s">
        <v>471</v>
      </c>
      <c r="C59" s="1418">
        <v>11</v>
      </c>
      <c r="D59" s="1460"/>
      <c r="E59" s="293"/>
      <c r="F59" s="429"/>
      <c r="G59" s="430"/>
      <c r="H59" s="386" t="str">
        <f t="shared" si="13"/>
        <v/>
      </c>
      <c r="I59" s="430"/>
      <c r="J59" s="431" t="str">
        <f t="shared" si="14"/>
        <v/>
      </c>
      <c r="K59" s="432"/>
      <c r="L59" s="311" t="str">
        <f t="shared" si="15"/>
        <v/>
      </c>
      <c r="M59" s="432"/>
      <c r="N59" s="311" t="str">
        <f t="shared" si="16"/>
        <v/>
      </c>
      <c r="O59" s="433"/>
      <c r="P59" s="318" t="str">
        <f t="shared" si="17"/>
        <v/>
      </c>
    </row>
    <row r="60" spans="1:23" ht="12.3">
      <c r="A60" s="293"/>
      <c r="B60" s="1348" t="s">
        <v>872</v>
      </c>
      <c r="C60" s="1418">
        <v>4</v>
      </c>
      <c r="D60" s="1415"/>
      <c r="E60" s="293"/>
      <c r="F60" s="429"/>
      <c r="G60" s="430"/>
      <c r="H60" s="386" t="str">
        <f t="shared" si="13"/>
        <v/>
      </c>
      <c r="I60" s="430"/>
      <c r="J60" s="431" t="str">
        <f t="shared" si="14"/>
        <v/>
      </c>
      <c r="K60" s="432"/>
      <c r="L60" s="311" t="str">
        <f t="shared" si="15"/>
        <v/>
      </c>
      <c r="M60" s="432"/>
      <c r="N60" s="311" t="str">
        <f t="shared" si="16"/>
        <v/>
      </c>
      <c r="O60" s="433"/>
      <c r="P60" s="318" t="str">
        <f t="shared" si="17"/>
        <v/>
      </c>
    </row>
    <row r="61" spans="1:23" ht="12.3">
      <c r="A61" s="293"/>
      <c r="B61" s="1349" t="s">
        <v>878</v>
      </c>
      <c r="C61" s="1419">
        <f>IFERROR(C59/C60, "")</f>
        <v>2.75</v>
      </c>
      <c r="D61" s="1415"/>
      <c r="E61" s="293"/>
      <c r="F61" s="445" t="s">
        <v>443</v>
      </c>
      <c r="G61" s="442">
        <f>SUM(G47:G60)</f>
        <v>0</v>
      </c>
      <c r="H61" s="441"/>
      <c r="I61" s="442"/>
      <c r="J61" s="442"/>
      <c r="K61" s="442"/>
      <c r="L61" s="352"/>
      <c r="M61" s="444"/>
      <c r="N61" s="443">
        <f>SUM(N47:N60)</f>
        <v>0</v>
      </c>
      <c r="O61" s="352"/>
      <c r="P61" s="443">
        <f>SUM(P47:P60)</f>
        <v>0</v>
      </c>
    </row>
    <row r="62" spans="1:23" ht="12.3">
      <c r="A62" s="293"/>
      <c r="B62" s="1350" t="s">
        <v>877</v>
      </c>
      <c r="C62" s="1359">
        <f>IFERROR(12/C61, "")</f>
        <v>4.3636363636363633</v>
      </c>
      <c r="D62" s="1416"/>
      <c r="E62" s="293"/>
    </row>
    <row r="63" spans="1:23" ht="12.3">
      <c r="A63" s="293"/>
      <c r="B63" s="1351" t="s">
        <v>873</v>
      </c>
      <c r="C63" s="1358"/>
      <c r="D63" s="1454"/>
      <c r="E63" s="293"/>
      <c r="F63" s="466" t="s">
        <v>715</v>
      </c>
      <c r="G63" s="467"/>
      <c r="H63" s="468"/>
      <c r="I63" s="468"/>
      <c r="J63" s="468"/>
      <c r="K63" s="468"/>
      <c r="L63" s="468"/>
      <c r="M63" s="468"/>
      <c r="N63" s="468"/>
      <c r="O63" s="468"/>
      <c r="P63" s="469"/>
    </row>
    <row r="64" spans="1:23" ht="36.9">
      <c r="A64" s="293"/>
      <c r="B64" s="1352" t="s">
        <v>952</v>
      </c>
      <c r="C64" s="1359" t="str">
        <f>IFERROR(1/C63, "")</f>
        <v/>
      </c>
      <c r="D64" s="1417"/>
      <c r="E64" s="293"/>
      <c r="F64" s="371" t="s">
        <v>252</v>
      </c>
      <c r="G64" s="423" t="s">
        <v>754</v>
      </c>
      <c r="H64" s="424" t="s">
        <v>460</v>
      </c>
      <c r="I64" s="424" t="s">
        <v>461</v>
      </c>
      <c r="J64" s="423" t="str">
        <f>IF('Please Read First'!$C$11="Metric", "Plant Density per m2", "Plant Density per ft2")</f>
        <v>Plant Density per ft2</v>
      </c>
      <c r="K64" s="424" t="s">
        <v>462</v>
      </c>
      <c r="L64" s="424" t="s">
        <v>255</v>
      </c>
      <c r="M64" s="425" t="str">
        <f>IF('Please Read First'!$C$11="metric", "Avg yield per plant in kg", "Avg. yield per plant in lbs")</f>
        <v>Avg. yield per plant in lbs</v>
      </c>
      <c r="N64" s="425" t="str">
        <f>IF('Please Read First'!$C$11="metric", "Total kg", "Total lbs")</f>
        <v>Total lbs</v>
      </c>
      <c r="O64" s="426" t="s">
        <v>257</v>
      </c>
      <c r="P64" s="425" t="str">
        <f>IF('Please Read First'!$C$11="metric", "Net kg", "Net lbs")</f>
        <v>Net lbs</v>
      </c>
    </row>
    <row r="65" spans="1:16" ht="12.3">
      <c r="A65" s="293"/>
      <c r="B65" s="1353" t="s">
        <v>916</v>
      </c>
      <c r="C65" s="1427"/>
      <c r="D65" s="1454" t="str">
        <f>IF('Please Read First'!$C$11="Metric","kg/Liter", "lbs/gal")</f>
        <v>lbs/gal</v>
      </c>
      <c r="E65" s="293"/>
      <c r="F65" s="429"/>
      <c r="G65" s="430"/>
      <c r="H65" s="386" t="str">
        <f t="shared" ref="H65:H78" si="18">IF(G65="", "", G65/$G$79)</f>
        <v/>
      </c>
      <c r="I65" s="430"/>
      <c r="J65" s="431" t="str">
        <f t="shared" ref="J65:J78" si="19">IF(I65="","",IF(I65=0,0,I65/$K$45))</f>
        <v/>
      </c>
      <c r="K65" s="432"/>
      <c r="L65" s="311" t="str">
        <f>IF(K65="", "", G65*I65*K65)</f>
        <v/>
      </c>
      <c r="M65" s="432"/>
      <c r="N65" s="311" t="str">
        <f t="shared" ref="N65:N78" si="20">IF(L65="", "", M65*L65)</f>
        <v/>
      </c>
      <c r="O65" s="433"/>
      <c r="P65" s="318" t="str">
        <f t="shared" ref="P65:P78" si="21">IF(N65="","",N65*(1-O65))</f>
        <v/>
      </c>
    </row>
    <row r="66" spans="1:16" ht="12.3">
      <c r="A66" s="293"/>
      <c r="B66" s="1354" t="s">
        <v>948</v>
      </c>
      <c r="C66" s="1420">
        <f>IFERROR(C9+C51, "")</f>
        <v>1280</v>
      </c>
      <c r="D66" s="1454" t="str">
        <f>IF('Please Read First'!$C$11="Metric","m2", "ft2")</f>
        <v>ft2</v>
      </c>
      <c r="E66" s="293"/>
      <c r="F66" s="429"/>
      <c r="G66" s="430"/>
      <c r="H66" s="386" t="str">
        <f t="shared" si="18"/>
        <v/>
      </c>
      <c r="I66" s="430"/>
      <c r="J66" s="431" t="str">
        <f t="shared" si="19"/>
        <v/>
      </c>
      <c r="K66" s="432"/>
      <c r="L66" s="311" t="str">
        <f t="shared" ref="L66:L78" si="22">IF(K66="", "", G66*I66*K66)</f>
        <v/>
      </c>
      <c r="M66" s="432"/>
      <c r="N66" s="311" t="str">
        <f t="shared" si="20"/>
        <v/>
      </c>
      <c r="O66" s="433"/>
      <c r="P66" s="318" t="str">
        <f t="shared" si="21"/>
        <v/>
      </c>
    </row>
    <row r="67" spans="1:16" ht="12.3">
      <c r="A67" s="293"/>
      <c r="B67" s="1353" t="s">
        <v>956</v>
      </c>
      <c r="C67" s="1424"/>
      <c r="D67" s="1454" t="str">
        <f>IF('Please Read First'!$C$11="Metric","g/m2/d", "oz/ft2/d")</f>
        <v>oz/ft2/d</v>
      </c>
      <c r="E67" s="293"/>
      <c r="F67" s="435"/>
      <c r="G67" s="430"/>
      <c r="H67" s="386" t="str">
        <f t="shared" si="18"/>
        <v/>
      </c>
      <c r="I67" s="430"/>
      <c r="J67" s="431" t="str">
        <f t="shared" si="19"/>
        <v/>
      </c>
      <c r="K67" s="432"/>
      <c r="L67" s="311" t="str">
        <f t="shared" si="22"/>
        <v/>
      </c>
      <c r="M67" s="432"/>
      <c r="N67" s="311" t="str">
        <f t="shared" si="20"/>
        <v/>
      </c>
      <c r="O67" s="433"/>
      <c r="P67" s="318" t="str">
        <f t="shared" si="21"/>
        <v/>
      </c>
    </row>
    <row r="68" spans="1:16" ht="12.3">
      <c r="A68" s="293"/>
      <c r="B68" s="1353" t="s">
        <v>949</v>
      </c>
      <c r="C68" s="1359">
        <f>IFERROR(C66*C67, "")</f>
        <v>0</v>
      </c>
      <c r="D68" s="1454" t="str">
        <f>IF('Please Read First'!$C$11="Metric","g", "oz")</f>
        <v>oz</v>
      </c>
      <c r="E68" s="293"/>
      <c r="F68" s="429"/>
      <c r="G68" s="430"/>
      <c r="H68" s="386" t="str">
        <f t="shared" si="18"/>
        <v/>
      </c>
      <c r="I68" s="430"/>
      <c r="J68" s="431" t="str">
        <f t="shared" si="19"/>
        <v/>
      </c>
      <c r="K68" s="432"/>
      <c r="L68" s="311" t="str">
        <f t="shared" si="22"/>
        <v/>
      </c>
      <c r="M68" s="432"/>
      <c r="N68" s="311" t="str">
        <f t="shared" si="20"/>
        <v/>
      </c>
      <c r="O68" s="433"/>
      <c r="P68" s="318" t="str">
        <f t="shared" si="21"/>
        <v/>
      </c>
    </row>
    <row r="69" spans="1:16" ht="12.3">
      <c r="A69" s="293"/>
      <c r="B69" s="1355" t="s">
        <v>955</v>
      </c>
      <c r="C69" s="1421">
        <f>IF(C68="","",IF('Please Read First'!C11="Metric",'Plant &amp; Fish Production'!C68/1000,'Plant &amp; Fish Production'!C68/16))</f>
        <v>0</v>
      </c>
      <c r="D69" s="1454" t="str">
        <f>IF('Please Read First'!$C$11="Metric","kg", "lbs")</f>
        <v>lbs</v>
      </c>
      <c r="E69" s="293"/>
      <c r="F69" s="429"/>
      <c r="G69" s="430"/>
      <c r="H69" s="386" t="str">
        <f t="shared" si="18"/>
        <v/>
      </c>
      <c r="I69" s="430"/>
      <c r="J69" s="431" t="str">
        <f t="shared" si="19"/>
        <v/>
      </c>
      <c r="K69" s="432"/>
      <c r="L69" s="311" t="str">
        <f t="shared" si="22"/>
        <v/>
      </c>
      <c r="M69" s="432"/>
      <c r="N69" s="311" t="str">
        <f t="shared" si="20"/>
        <v/>
      </c>
      <c r="O69" s="433"/>
      <c r="P69" s="318" t="str">
        <f t="shared" si="21"/>
        <v/>
      </c>
    </row>
    <row r="70" spans="1:16" ht="12.3">
      <c r="A70" s="293"/>
      <c r="B70" s="1355" t="s">
        <v>950</v>
      </c>
      <c r="C70" s="1359">
        <f>IFERROR(C69*365,"")</f>
        <v>0</v>
      </c>
      <c r="D70" s="1454" t="str">
        <f>IF('Please Read First'!$C$11="Metric","kg", "lbs")</f>
        <v>lbs</v>
      </c>
      <c r="E70" s="293"/>
      <c r="F70" s="429"/>
      <c r="G70" s="430"/>
      <c r="H70" s="386" t="str">
        <f t="shared" si="18"/>
        <v/>
      </c>
      <c r="I70" s="430"/>
      <c r="J70" s="431" t="str">
        <f t="shared" si="19"/>
        <v/>
      </c>
      <c r="K70" s="432"/>
      <c r="L70" s="311" t="str">
        <f t="shared" si="22"/>
        <v/>
      </c>
      <c r="M70" s="432"/>
      <c r="N70" s="311" t="str">
        <f t="shared" si="20"/>
        <v/>
      </c>
      <c r="O70" s="433"/>
      <c r="P70" s="318" t="str">
        <f t="shared" si="21"/>
        <v/>
      </c>
    </row>
    <row r="71" spans="1:16" ht="12.3">
      <c r="A71" s="293"/>
      <c r="B71" s="1345" t="s">
        <v>874</v>
      </c>
      <c r="C71" s="1422" t="str">
        <f>IFERROR(C70*C64, "")</f>
        <v/>
      </c>
      <c r="D71" s="1454" t="str">
        <f>IF('Please Read First'!$C$11="Metric","kg", "lbs")</f>
        <v>lbs</v>
      </c>
      <c r="E71" s="293"/>
      <c r="F71" s="429"/>
      <c r="G71" s="430"/>
      <c r="H71" s="386" t="str">
        <f t="shared" si="18"/>
        <v/>
      </c>
      <c r="I71" s="430"/>
      <c r="J71" s="431" t="str">
        <f t="shared" si="19"/>
        <v/>
      </c>
      <c r="K71" s="470"/>
      <c r="L71" s="311" t="str">
        <f t="shared" si="22"/>
        <v/>
      </c>
      <c r="M71" s="432"/>
      <c r="N71" s="311" t="str">
        <f t="shared" si="20"/>
        <v/>
      </c>
      <c r="O71" s="433"/>
      <c r="P71" s="318" t="str">
        <f t="shared" si="21"/>
        <v/>
      </c>
    </row>
    <row r="72" spans="1:16" ht="12.3">
      <c r="A72" s="293"/>
      <c r="B72" s="1345" t="s">
        <v>875</v>
      </c>
      <c r="C72" s="1422" t="str">
        <f>IFERROR(C71/C58, "")</f>
        <v/>
      </c>
      <c r="D72" s="1416"/>
      <c r="E72" s="293"/>
      <c r="F72" s="429"/>
      <c r="G72" s="430"/>
      <c r="H72" s="386" t="str">
        <f t="shared" si="18"/>
        <v/>
      </c>
      <c r="I72" s="430"/>
      <c r="J72" s="431" t="str">
        <f t="shared" si="19"/>
        <v/>
      </c>
      <c r="K72" s="470"/>
      <c r="L72" s="311" t="str">
        <f t="shared" si="22"/>
        <v/>
      </c>
      <c r="M72" s="432"/>
      <c r="N72" s="311" t="str">
        <f t="shared" si="20"/>
        <v/>
      </c>
      <c r="O72" s="433"/>
      <c r="P72" s="318" t="str">
        <f t="shared" si="21"/>
        <v/>
      </c>
    </row>
    <row r="73" spans="1:16" ht="12.3">
      <c r="A73" s="293"/>
      <c r="B73" s="1345" t="s">
        <v>876</v>
      </c>
      <c r="C73" s="1422" t="str">
        <f>IFERROR(C56*C72, "")</f>
        <v/>
      </c>
      <c r="D73" s="1454" t="str">
        <f>IF('Please Read First'!$C$11="Metric","kg", "lbs")</f>
        <v>lbs</v>
      </c>
      <c r="E73" s="293"/>
      <c r="F73" s="429"/>
      <c r="G73" s="430"/>
      <c r="H73" s="386" t="str">
        <f t="shared" si="18"/>
        <v/>
      </c>
      <c r="I73" s="430"/>
      <c r="J73" s="431" t="str">
        <f t="shared" si="19"/>
        <v/>
      </c>
      <c r="K73" s="470"/>
      <c r="L73" s="311" t="str">
        <f t="shared" si="22"/>
        <v/>
      </c>
      <c r="M73" s="432"/>
      <c r="N73" s="311" t="str">
        <f t="shared" si="20"/>
        <v/>
      </c>
      <c r="O73" s="433"/>
      <c r="P73" s="318" t="str">
        <f t="shared" si="21"/>
        <v/>
      </c>
    </row>
    <row r="74" spans="1:16" ht="12.3">
      <c r="A74" s="293"/>
      <c r="B74" s="1345" t="s">
        <v>879</v>
      </c>
      <c r="C74" s="1422" t="str">
        <f>IFERROR(C73/C62, "")</f>
        <v/>
      </c>
      <c r="D74" s="1454" t="str">
        <f>IF('Please Read First'!$C$11="Metric","kg", "lbs")</f>
        <v>lbs</v>
      </c>
      <c r="E74" s="293"/>
      <c r="F74" s="429"/>
      <c r="G74" s="430"/>
      <c r="H74" s="386" t="str">
        <f t="shared" si="18"/>
        <v/>
      </c>
      <c r="I74" s="430"/>
      <c r="J74" s="431" t="str">
        <f t="shared" si="19"/>
        <v/>
      </c>
      <c r="K74" s="470"/>
      <c r="L74" s="311" t="str">
        <f t="shared" si="22"/>
        <v/>
      </c>
      <c r="M74" s="432"/>
      <c r="N74" s="311" t="str">
        <f t="shared" si="20"/>
        <v/>
      </c>
      <c r="O74" s="433"/>
      <c r="P74" s="318" t="str">
        <f t="shared" si="21"/>
        <v/>
      </c>
    </row>
    <row r="75" spans="1:16" ht="12.3">
      <c r="A75" s="293"/>
      <c r="B75" s="1356" t="s">
        <v>880</v>
      </c>
      <c r="C75" s="1423" t="str">
        <f>IFERROR(C74/C65, "")</f>
        <v/>
      </c>
      <c r="D75" s="1454" t="str">
        <f>IF('Please Read First'!$C$11="Metric","Liters", "gallons")</f>
        <v>gallons</v>
      </c>
      <c r="E75" s="293"/>
      <c r="F75" s="429"/>
      <c r="G75" s="430"/>
      <c r="H75" s="386" t="str">
        <f t="shared" si="18"/>
        <v/>
      </c>
      <c r="I75" s="430"/>
      <c r="J75" s="431" t="str">
        <f t="shared" si="19"/>
        <v/>
      </c>
      <c r="K75" s="470"/>
      <c r="L75" s="311" t="str">
        <f t="shared" si="22"/>
        <v/>
      </c>
      <c r="M75" s="432"/>
      <c r="N75" s="311" t="str">
        <f t="shared" si="20"/>
        <v/>
      </c>
      <c r="O75" s="433"/>
      <c r="P75" s="318" t="str">
        <f t="shared" si="21"/>
        <v/>
      </c>
    </row>
    <row r="76" spans="1:16" ht="12.3">
      <c r="A76" s="293"/>
      <c r="B76" s="1353" t="s">
        <v>951</v>
      </c>
      <c r="C76" s="1359" t="str">
        <f>IFERROR(C56/C65, "")</f>
        <v/>
      </c>
      <c r="D76" s="1454" t="str">
        <f>IF('Please Read First'!$C$11="Metric","Liters", "gallons")</f>
        <v>gallons</v>
      </c>
      <c r="E76" s="293"/>
      <c r="F76" s="429"/>
      <c r="G76" s="430"/>
      <c r="H76" s="386" t="str">
        <f t="shared" si="18"/>
        <v/>
      </c>
      <c r="I76" s="430"/>
      <c r="J76" s="431" t="str">
        <f t="shared" si="19"/>
        <v/>
      </c>
      <c r="K76" s="470"/>
      <c r="L76" s="311" t="str">
        <f t="shared" si="22"/>
        <v/>
      </c>
      <c r="M76" s="432"/>
      <c r="N76" s="311" t="str">
        <f t="shared" si="20"/>
        <v/>
      </c>
      <c r="O76" s="433"/>
      <c r="P76" s="318" t="str">
        <f t="shared" si="21"/>
        <v/>
      </c>
    </row>
    <row r="77" spans="1:16" ht="12.3">
      <c r="A77" s="293"/>
      <c r="B77" s="1357" t="s">
        <v>491</v>
      </c>
      <c r="C77" s="1428" t="str">
        <f>IFERROR(C75/C76, "")</f>
        <v/>
      </c>
      <c r="D77" s="1416"/>
      <c r="E77" s="293"/>
      <c r="F77" s="429"/>
      <c r="G77" s="430"/>
      <c r="H77" s="386" t="str">
        <f t="shared" si="18"/>
        <v/>
      </c>
      <c r="I77" s="430"/>
      <c r="J77" s="431" t="str">
        <f t="shared" si="19"/>
        <v/>
      </c>
      <c r="K77" s="470"/>
      <c r="L77" s="311" t="str">
        <f t="shared" si="22"/>
        <v/>
      </c>
      <c r="M77" s="432"/>
      <c r="N77" s="311" t="str">
        <f t="shared" si="20"/>
        <v/>
      </c>
      <c r="O77" s="433"/>
      <c r="P77" s="318" t="str">
        <f t="shared" si="21"/>
        <v/>
      </c>
    </row>
    <row r="78" spans="1:16" ht="12.3">
      <c r="A78" s="293"/>
      <c r="B78" s="1357" t="s">
        <v>492</v>
      </c>
      <c r="C78" s="1428" t="str">
        <f>IFERROR(C77*1.1, "")</f>
        <v/>
      </c>
      <c r="D78" s="1416"/>
      <c r="E78" s="293"/>
      <c r="F78" s="471"/>
      <c r="G78" s="472"/>
      <c r="H78" s="386" t="str">
        <f t="shared" si="18"/>
        <v/>
      </c>
      <c r="I78" s="472"/>
      <c r="J78" s="431" t="str">
        <f t="shared" si="19"/>
        <v/>
      </c>
      <c r="K78" s="470"/>
      <c r="L78" s="311" t="str">
        <f t="shared" si="22"/>
        <v/>
      </c>
      <c r="M78" s="473"/>
      <c r="N78" s="311" t="str">
        <f t="shared" si="20"/>
        <v/>
      </c>
      <c r="O78" s="474"/>
      <c r="P78" s="318" t="str">
        <f t="shared" si="21"/>
        <v/>
      </c>
    </row>
    <row r="79" spans="1:16" ht="12.3">
      <c r="A79" s="293"/>
      <c r="E79" s="293"/>
      <c r="F79" s="445" t="s">
        <v>443</v>
      </c>
      <c r="G79" s="442">
        <f>SUM(G65:G78)</f>
        <v>0</v>
      </c>
      <c r="H79" s="441"/>
      <c r="I79" s="442">
        <f>SUM(I65:I78)</f>
        <v>0</v>
      </c>
      <c r="J79" s="442"/>
      <c r="K79" s="442"/>
      <c r="L79" s="456">
        <f>SUM(L65:L78)</f>
        <v>0</v>
      </c>
      <c r="M79" s="444"/>
      <c r="N79" s="443">
        <f>SUM(N65:N78)</f>
        <v>0</v>
      </c>
      <c r="O79" s="352"/>
      <c r="P79" s="443">
        <f>SUM(P65:P78)</f>
        <v>0</v>
      </c>
    </row>
    <row r="80" spans="1:16" ht="12.3">
      <c r="A80" s="293"/>
      <c r="E80" s="293"/>
      <c r="P80" s="293"/>
    </row>
    <row r="81" spans="1:16" ht="24.6">
      <c r="A81" s="293"/>
      <c r="E81" s="293"/>
      <c r="F81" s="475" t="s">
        <v>505</v>
      </c>
      <c r="G81" s="423" t="s">
        <v>755</v>
      </c>
      <c r="H81" s="424" t="s">
        <v>509</v>
      </c>
      <c r="I81" s="424" t="s">
        <v>95</v>
      </c>
      <c r="J81" s="425" t="s">
        <v>510</v>
      </c>
      <c r="K81" s="424" t="s">
        <v>511</v>
      </c>
      <c r="L81" s="424" t="s">
        <v>475</v>
      </c>
      <c r="M81" s="476"/>
      <c r="P81" s="293"/>
    </row>
    <row r="82" spans="1:16" ht="12.3">
      <c r="A82" s="293"/>
      <c r="E82" s="293"/>
      <c r="F82" s="435" t="s">
        <v>965</v>
      </c>
      <c r="G82" s="430">
        <v>6</v>
      </c>
      <c r="H82" s="430">
        <v>2</v>
      </c>
      <c r="I82" s="477">
        <f>IF(H82="", "", 52/H82)</f>
        <v>26</v>
      </c>
      <c r="J82" s="431">
        <f>IF(I82="", "", I82*G82)</f>
        <v>156</v>
      </c>
      <c r="K82" s="478">
        <v>25</v>
      </c>
      <c r="L82" s="354">
        <f>IF(J82="", "", K82*J82)</f>
        <v>3900</v>
      </c>
      <c r="M82" s="479"/>
      <c r="P82" s="293"/>
    </row>
    <row r="83" spans="1:16" ht="12.3">
      <c r="A83" s="293"/>
      <c r="E83" s="293"/>
      <c r="F83" s="435"/>
      <c r="G83" s="430"/>
      <c r="H83" s="430"/>
      <c r="I83" s="477" t="str">
        <f>IF(H83="", "", 52/H83)</f>
        <v/>
      </c>
      <c r="J83" s="431" t="str">
        <f>IF(I83="", "", I83*G83)</f>
        <v/>
      </c>
      <c r="K83" s="478"/>
      <c r="L83" s="354" t="str">
        <f t="shared" ref="L83:L95" si="23">IF(J83="", "", K83*J83)</f>
        <v/>
      </c>
      <c r="M83" s="479"/>
      <c r="P83" s="293"/>
    </row>
    <row r="84" spans="1:16" ht="12.3">
      <c r="A84" s="293"/>
      <c r="E84" s="293"/>
      <c r="F84" s="435"/>
      <c r="G84" s="430"/>
      <c r="H84" s="430"/>
      <c r="I84" s="477" t="str">
        <f>IF(H84="", "", 52/H84)</f>
        <v/>
      </c>
      <c r="J84" s="431" t="str">
        <f>IF(I84="", "", I84*G84)</f>
        <v/>
      </c>
      <c r="K84" s="478"/>
      <c r="L84" s="354" t="str">
        <f t="shared" si="23"/>
        <v/>
      </c>
      <c r="M84" s="479"/>
      <c r="P84" s="293"/>
    </row>
    <row r="85" spans="1:16" ht="12.3">
      <c r="A85" s="293"/>
      <c r="E85" s="293"/>
      <c r="F85" s="429"/>
      <c r="G85" s="430"/>
      <c r="H85" s="430"/>
      <c r="I85" s="477" t="str">
        <f>IF(H85="", "", 52/H85)</f>
        <v/>
      </c>
      <c r="J85" s="431" t="str">
        <f>IF(I85="", "", I85*G85)</f>
        <v/>
      </c>
      <c r="K85" s="478"/>
      <c r="L85" s="354" t="str">
        <f t="shared" si="23"/>
        <v/>
      </c>
      <c r="M85" s="479"/>
      <c r="P85" s="293"/>
    </row>
    <row r="86" spans="1:16" ht="12.3">
      <c r="A86" s="293"/>
      <c r="E86" s="293"/>
      <c r="F86" s="429"/>
      <c r="G86" s="430"/>
      <c r="H86" s="430"/>
      <c r="I86" s="477" t="str">
        <f>IF(H86="", "", 52/H86)</f>
        <v/>
      </c>
      <c r="J86" s="431" t="str">
        <f>IF(I86="", "", I86*G86)</f>
        <v/>
      </c>
      <c r="K86" s="433"/>
      <c r="L86" s="354" t="str">
        <f t="shared" si="23"/>
        <v/>
      </c>
      <c r="M86" s="479"/>
      <c r="P86" s="293"/>
    </row>
    <row r="87" spans="1:16" ht="12.3">
      <c r="A87" s="293"/>
      <c r="E87" s="293"/>
      <c r="F87" s="429"/>
      <c r="G87" s="430"/>
      <c r="H87" s="430"/>
      <c r="I87" s="477" t="str">
        <f t="shared" ref="I87:I95" si="24">IF(H87="", "", 52/H87)</f>
        <v/>
      </c>
      <c r="J87" s="431" t="str">
        <f t="shared" ref="J87:J95" si="25">IF(I87="", "", I87*G87)</f>
        <v/>
      </c>
      <c r="K87" s="433"/>
      <c r="L87" s="354" t="str">
        <f t="shared" si="23"/>
        <v/>
      </c>
      <c r="M87" s="479"/>
      <c r="P87" s="293"/>
    </row>
    <row r="88" spans="1:16" ht="12.3">
      <c r="A88" s="293"/>
      <c r="E88" s="293"/>
      <c r="F88" s="429"/>
      <c r="G88" s="430"/>
      <c r="H88" s="430"/>
      <c r="I88" s="477" t="str">
        <f t="shared" si="24"/>
        <v/>
      </c>
      <c r="J88" s="431" t="str">
        <f t="shared" si="25"/>
        <v/>
      </c>
      <c r="K88" s="433"/>
      <c r="L88" s="354" t="str">
        <f t="shared" si="23"/>
        <v/>
      </c>
      <c r="M88" s="479"/>
      <c r="P88" s="293"/>
    </row>
    <row r="89" spans="1:16" ht="12.3">
      <c r="A89" s="293"/>
      <c r="E89" s="293"/>
      <c r="F89" s="429"/>
      <c r="G89" s="430"/>
      <c r="H89" s="430"/>
      <c r="I89" s="477" t="str">
        <f t="shared" si="24"/>
        <v/>
      </c>
      <c r="J89" s="431" t="str">
        <f t="shared" si="25"/>
        <v/>
      </c>
      <c r="K89" s="433"/>
      <c r="L89" s="354" t="str">
        <f t="shared" si="23"/>
        <v/>
      </c>
      <c r="M89" s="479"/>
      <c r="P89" s="293"/>
    </row>
    <row r="90" spans="1:16" ht="12.3">
      <c r="A90" s="293"/>
      <c r="E90" s="293"/>
      <c r="F90" s="429"/>
      <c r="G90" s="430"/>
      <c r="H90" s="430"/>
      <c r="I90" s="477" t="str">
        <f t="shared" si="24"/>
        <v/>
      </c>
      <c r="J90" s="431" t="str">
        <f t="shared" si="25"/>
        <v/>
      </c>
      <c r="K90" s="433"/>
      <c r="L90" s="354" t="str">
        <f t="shared" si="23"/>
        <v/>
      </c>
      <c r="M90" s="479"/>
      <c r="P90" s="293"/>
    </row>
    <row r="91" spans="1:16" ht="12.3">
      <c r="A91" s="293"/>
      <c r="E91" s="293"/>
      <c r="F91" s="429"/>
      <c r="G91" s="430"/>
      <c r="H91" s="430"/>
      <c r="I91" s="477" t="str">
        <f t="shared" si="24"/>
        <v/>
      </c>
      <c r="J91" s="431" t="str">
        <f t="shared" si="25"/>
        <v/>
      </c>
      <c r="K91" s="433"/>
      <c r="L91" s="354" t="str">
        <f t="shared" si="23"/>
        <v/>
      </c>
      <c r="M91" s="479"/>
      <c r="P91" s="293"/>
    </row>
    <row r="92" spans="1:16" ht="12.3">
      <c r="A92" s="293"/>
      <c r="E92" s="293"/>
      <c r="F92" s="429"/>
      <c r="G92" s="430"/>
      <c r="H92" s="430"/>
      <c r="I92" s="477" t="str">
        <f t="shared" si="24"/>
        <v/>
      </c>
      <c r="J92" s="431" t="str">
        <f t="shared" si="25"/>
        <v/>
      </c>
      <c r="K92" s="433"/>
      <c r="L92" s="354" t="str">
        <f t="shared" si="23"/>
        <v/>
      </c>
      <c r="M92" s="479"/>
      <c r="P92" s="293"/>
    </row>
    <row r="93" spans="1:16" ht="12.3">
      <c r="A93" s="293"/>
      <c r="E93" s="293"/>
      <c r="F93" s="429"/>
      <c r="G93" s="430"/>
      <c r="H93" s="430"/>
      <c r="I93" s="477" t="str">
        <f t="shared" si="24"/>
        <v/>
      </c>
      <c r="J93" s="431" t="str">
        <f t="shared" si="25"/>
        <v/>
      </c>
      <c r="K93" s="433"/>
      <c r="L93" s="354" t="str">
        <f t="shared" si="23"/>
        <v/>
      </c>
      <c r="M93" s="479"/>
      <c r="P93" s="293"/>
    </row>
    <row r="94" spans="1:16" ht="12.3">
      <c r="A94" s="293"/>
      <c r="E94" s="293"/>
      <c r="F94" s="429"/>
      <c r="G94" s="430"/>
      <c r="H94" s="430"/>
      <c r="I94" s="477" t="str">
        <f t="shared" si="24"/>
        <v/>
      </c>
      <c r="J94" s="431" t="str">
        <f t="shared" si="25"/>
        <v/>
      </c>
      <c r="K94" s="433"/>
      <c r="L94" s="354" t="str">
        <f t="shared" si="23"/>
        <v/>
      </c>
      <c r="M94" s="479"/>
      <c r="P94" s="293"/>
    </row>
    <row r="95" spans="1:16" ht="12.3">
      <c r="A95" s="293"/>
      <c r="E95" s="293"/>
      <c r="F95" s="429"/>
      <c r="G95" s="430"/>
      <c r="H95" s="430"/>
      <c r="I95" s="477" t="str">
        <f t="shared" si="24"/>
        <v/>
      </c>
      <c r="J95" s="431" t="str">
        <f t="shared" si="25"/>
        <v/>
      </c>
      <c r="K95" s="433"/>
      <c r="L95" s="354" t="str">
        <f t="shared" si="23"/>
        <v/>
      </c>
      <c r="M95" s="479"/>
      <c r="P95" s="293"/>
    </row>
    <row r="96" spans="1:16" ht="12.3">
      <c r="A96" s="293"/>
      <c r="E96" s="293"/>
      <c r="F96" s="445" t="s">
        <v>443</v>
      </c>
      <c r="G96" s="442">
        <f>SUM(G82:G85)</f>
        <v>6</v>
      </c>
      <c r="H96" s="352"/>
      <c r="I96" s="352"/>
      <c r="J96" s="444">
        <f>SUM(J82:J95)</f>
        <v>156</v>
      </c>
      <c r="K96" s="480"/>
      <c r="L96" s="480">
        <f>SUM(L82:L95)</f>
        <v>3900</v>
      </c>
      <c r="M96" s="481"/>
      <c r="P96" s="293"/>
    </row>
    <row r="97" spans="1:16" ht="12.3">
      <c r="A97" s="293"/>
      <c r="E97" s="293"/>
      <c r="L97" s="482"/>
      <c r="P97" s="293"/>
    </row>
    <row r="98" spans="1:16" ht="12.3">
      <c r="A98" s="293"/>
      <c r="E98" s="293"/>
      <c r="L98" s="482"/>
      <c r="P98" s="293"/>
    </row>
    <row r="99" spans="1:16" ht="12.3">
      <c r="A99" s="293"/>
      <c r="E99" s="293"/>
      <c r="L99" s="482"/>
      <c r="P99" s="293"/>
    </row>
    <row r="100" spans="1:16" ht="12.3">
      <c r="A100" s="293"/>
      <c r="E100" s="293"/>
      <c r="L100" s="482"/>
      <c r="P100" s="293"/>
    </row>
    <row r="101" spans="1:16" ht="12.3">
      <c r="A101" s="293"/>
      <c r="E101" s="293"/>
      <c r="L101" s="482"/>
      <c r="P101" s="293"/>
    </row>
    <row r="102" spans="1:16" ht="12.3">
      <c r="A102" s="293"/>
      <c r="E102" s="293"/>
      <c r="L102" s="482"/>
      <c r="P102" s="293"/>
    </row>
    <row r="103" spans="1:16" ht="12.3">
      <c r="A103" s="293"/>
      <c r="E103" s="293"/>
      <c r="L103" s="482"/>
      <c r="P103" s="293"/>
    </row>
    <row r="104" spans="1:16" ht="12.3">
      <c r="A104" s="293"/>
      <c r="E104" s="293"/>
      <c r="L104" s="482"/>
      <c r="P104" s="293"/>
    </row>
    <row r="105" spans="1:16" ht="12.3">
      <c r="A105" s="293"/>
      <c r="E105" s="293"/>
      <c r="L105" s="482"/>
      <c r="P105" s="293"/>
    </row>
    <row r="106" spans="1:16" ht="12.3">
      <c r="A106" s="293"/>
      <c r="E106" s="293"/>
      <c r="L106" s="482"/>
      <c r="P106" s="293"/>
    </row>
    <row r="107" spans="1:16" ht="12.3">
      <c r="A107" s="293"/>
      <c r="E107" s="293"/>
      <c r="L107" s="482"/>
      <c r="P107" s="293"/>
    </row>
    <row r="108" spans="1:16" ht="12.3">
      <c r="A108" s="293"/>
      <c r="E108" s="293"/>
      <c r="L108" s="482"/>
      <c r="P108" s="293"/>
    </row>
    <row r="109" spans="1:16" ht="12.3">
      <c r="A109" s="293"/>
      <c r="E109" s="293"/>
      <c r="L109" s="482"/>
      <c r="P109" s="293"/>
    </row>
    <row r="110" spans="1:16" ht="12.3">
      <c r="A110" s="293"/>
      <c r="E110" s="293"/>
      <c r="L110" s="482"/>
      <c r="P110" s="293"/>
    </row>
    <row r="111" spans="1:16" ht="12.3">
      <c r="A111" s="293"/>
      <c r="E111" s="293"/>
      <c r="L111" s="482"/>
      <c r="P111" s="293"/>
    </row>
    <row r="112" spans="1:16" ht="12.3">
      <c r="A112" s="293"/>
      <c r="E112" s="293"/>
      <c r="L112" s="482"/>
      <c r="P112" s="293"/>
    </row>
    <row r="113" spans="1:16" ht="12.3">
      <c r="A113" s="293"/>
      <c r="E113" s="293"/>
      <c r="L113" s="482"/>
      <c r="P113" s="293"/>
    </row>
    <row r="114" spans="1:16" ht="12.3">
      <c r="A114" s="293"/>
      <c r="E114" s="293"/>
      <c r="L114" s="482"/>
      <c r="P114" s="293"/>
    </row>
    <row r="115" spans="1:16" ht="12.3">
      <c r="A115" s="293"/>
      <c r="E115" s="293"/>
      <c r="L115" s="482"/>
      <c r="P115" s="293"/>
    </row>
    <row r="116" spans="1:16" ht="12.3">
      <c r="A116" s="293"/>
      <c r="E116" s="293"/>
      <c r="L116" s="482"/>
      <c r="P116" s="293"/>
    </row>
    <row r="117" spans="1:16" ht="12.3">
      <c r="A117" s="293"/>
      <c r="E117" s="293"/>
      <c r="L117" s="482"/>
      <c r="P117" s="293"/>
    </row>
    <row r="118" spans="1:16" ht="12.3">
      <c r="A118" s="293"/>
      <c r="E118" s="293"/>
      <c r="L118" s="482"/>
      <c r="P118" s="293"/>
    </row>
    <row r="119" spans="1:16" ht="12.3">
      <c r="A119" s="293"/>
      <c r="E119" s="293"/>
      <c r="L119" s="482"/>
      <c r="P119" s="293"/>
    </row>
    <row r="120" spans="1:16" ht="12.3">
      <c r="A120" s="293"/>
      <c r="E120" s="293"/>
      <c r="L120" s="482"/>
      <c r="P120" s="293"/>
    </row>
    <row r="121" spans="1:16" ht="12.3">
      <c r="A121" s="293"/>
      <c r="E121" s="293"/>
      <c r="L121" s="482"/>
      <c r="P121" s="293"/>
    </row>
    <row r="122" spans="1:16" ht="12.3">
      <c r="A122" s="293"/>
      <c r="E122" s="293"/>
      <c r="L122" s="482"/>
      <c r="P122" s="293"/>
    </row>
    <row r="123" spans="1:16" ht="12.3">
      <c r="A123" s="293"/>
      <c r="E123" s="293"/>
      <c r="L123" s="482"/>
      <c r="P123" s="293"/>
    </row>
    <row r="124" spans="1:16" ht="12.3">
      <c r="A124" s="293"/>
      <c r="E124" s="293"/>
      <c r="L124" s="482"/>
      <c r="P124" s="293"/>
    </row>
    <row r="125" spans="1:16" ht="12.3">
      <c r="A125" s="293"/>
      <c r="E125" s="293"/>
      <c r="L125" s="482"/>
      <c r="P125" s="293"/>
    </row>
    <row r="126" spans="1:16" ht="12.3">
      <c r="A126" s="293"/>
      <c r="E126" s="293"/>
      <c r="L126" s="482"/>
      <c r="P126" s="293"/>
    </row>
    <row r="127" spans="1:16" ht="12.3">
      <c r="A127" s="293"/>
      <c r="E127" s="293"/>
      <c r="L127" s="482"/>
      <c r="P127" s="293"/>
    </row>
    <row r="128" spans="1:16" ht="12.3">
      <c r="A128" s="293"/>
      <c r="E128" s="293"/>
      <c r="L128" s="482"/>
      <c r="P128" s="293"/>
    </row>
    <row r="129" spans="1:16" ht="12.3">
      <c r="A129" s="293"/>
      <c r="E129" s="293"/>
      <c r="L129" s="482"/>
      <c r="P129" s="293"/>
    </row>
    <row r="130" spans="1:16" ht="12.3">
      <c r="A130" s="293"/>
      <c r="E130" s="293"/>
      <c r="L130" s="482"/>
      <c r="P130" s="293"/>
    </row>
    <row r="131" spans="1:16" ht="12.3">
      <c r="A131" s="293"/>
      <c r="E131" s="293"/>
      <c r="L131" s="482"/>
      <c r="P131" s="293"/>
    </row>
    <row r="132" spans="1:16" ht="12.3">
      <c r="A132" s="293"/>
      <c r="E132" s="293"/>
      <c r="L132" s="482"/>
      <c r="P132" s="293"/>
    </row>
    <row r="133" spans="1:16" ht="12.3">
      <c r="A133" s="293"/>
      <c r="E133" s="293"/>
      <c r="L133" s="482"/>
      <c r="P133" s="293"/>
    </row>
    <row r="134" spans="1:16" ht="12.3">
      <c r="A134" s="293"/>
      <c r="E134" s="293"/>
      <c r="L134" s="482"/>
      <c r="P134" s="293"/>
    </row>
    <row r="135" spans="1:16" ht="12.3">
      <c r="A135" s="293"/>
      <c r="E135" s="293"/>
      <c r="L135" s="482"/>
      <c r="P135" s="293"/>
    </row>
    <row r="136" spans="1:16" ht="12.3">
      <c r="A136" s="293"/>
      <c r="E136" s="293"/>
      <c r="L136" s="482"/>
      <c r="P136" s="293"/>
    </row>
    <row r="137" spans="1:16" ht="12.3">
      <c r="A137" s="293"/>
      <c r="E137" s="293"/>
      <c r="L137" s="482"/>
      <c r="P137" s="293"/>
    </row>
    <row r="138" spans="1:16" ht="12.3">
      <c r="A138" s="293"/>
      <c r="E138" s="293"/>
      <c r="L138" s="482"/>
      <c r="P138" s="293"/>
    </row>
    <row r="139" spans="1:16" ht="12.3">
      <c r="A139" s="293"/>
      <c r="E139" s="293"/>
      <c r="L139" s="482"/>
      <c r="P139" s="293"/>
    </row>
    <row r="140" spans="1:16" ht="12.3">
      <c r="A140" s="293"/>
      <c r="E140" s="293"/>
      <c r="L140" s="482"/>
      <c r="P140" s="293"/>
    </row>
    <row r="141" spans="1:16" ht="12.3">
      <c r="A141" s="293"/>
      <c r="E141" s="293"/>
      <c r="L141" s="482"/>
      <c r="P141" s="293"/>
    </row>
    <row r="142" spans="1:16" ht="12.3">
      <c r="A142" s="293"/>
      <c r="E142" s="293"/>
      <c r="L142" s="482"/>
      <c r="P142" s="293"/>
    </row>
    <row r="143" spans="1:16" ht="12.3">
      <c r="A143" s="293"/>
      <c r="E143" s="293"/>
      <c r="L143" s="482"/>
      <c r="P143" s="293"/>
    </row>
    <row r="144" spans="1:16" ht="12.3">
      <c r="A144" s="293"/>
      <c r="E144" s="293"/>
      <c r="L144" s="482"/>
      <c r="P144" s="293"/>
    </row>
    <row r="145" spans="1:16" ht="12.3">
      <c r="A145" s="293"/>
      <c r="E145" s="293"/>
      <c r="L145" s="482"/>
      <c r="P145" s="293"/>
    </row>
    <row r="146" spans="1:16" ht="12.3">
      <c r="A146" s="293"/>
      <c r="E146" s="293"/>
      <c r="L146" s="482"/>
      <c r="P146" s="293"/>
    </row>
    <row r="147" spans="1:16" ht="12.3">
      <c r="A147" s="293"/>
      <c r="E147" s="293"/>
      <c r="L147" s="482"/>
      <c r="P147" s="293"/>
    </row>
    <row r="148" spans="1:16" ht="12.3">
      <c r="A148" s="293"/>
      <c r="E148" s="293"/>
      <c r="L148" s="482"/>
      <c r="P148" s="293"/>
    </row>
    <row r="149" spans="1:16" ht="12.3">
      <c r="A149" s="293"/>
      <c r="E149" s="293"/>
      <c r="L149" s="482"/>
      <c r="P149" s="293"/>
    </row>
    <row r="150" spans="1:16" ht="12.3">
      <c r="A150" s="293"/>
      <c r="E150" s="293"/>
      <c r="L150" s="482"/>
      <c r="P150" s="293"/>
    </row>
    <row r="151" spans="1:16" ht="12.3">
      <c r="A151" s="293"/>
      <c r="E151" s="293"/>
      <c r="L151" s="482"/>
      <c r="P151" s="293"/>
    </row>
    <row r="152" spans="1:16" ht="12.3">
      <c r="A152" s="293"/>
      <c r="E152" s="293"/>
      <c r="L152" s="482"/>
      <c r="P152" s="293"/>
    </row>
    <row r="153" spans="1:16" ht="12.3">
      <c r="A153" s="293"/>
      <c r="E153" s="293"/>
      <c r="L153" s="482"/>
      <c r="P153" s="293"/>
    </row>
    <row r="154" spans="1:16" ht="12.3">
      <c r="A154" s="293"/>
      <c r="E154" s="293"/>
      <c r="L154" s="482"/>
      <c r="P154" s="293"/>
    </row>
    <row r="155" spans="1:16" ht="12.3">
      <c r="A155" s="293"/>
      <c r="E155" s="293"/>
      <c r="L155" s="482"/>
      <c r="P155" s="293"/>
    </row>
    <row r="156" spans="1:16" ht="12.3">
      <c r="A156" s="293"/>
      <c r="E156" s="293"/>
      <c r="L156" s="482"/>
      <c r="P156" s="293"/>
    </row>
    <row r="157" spans="1:16" ht="12.3">
      <c r="A157" s="293"/>
      <c r="E157" s="293"/>
      <c r="L157" s="482"/>
      <c r="P157" s="293"/>
    </row>
    <row r="158" spans="1:16" ht="12.3">
      <c r="A158" s="293"/>
      <c r="E158" s="293"/>
      <c r="L158" s="482"/>
      <c r="P158" s="293"/>
    </row>
    <row r="159" spans="1:16" ht="12.3">
      <c r="A159" s="293"/>
      <c r="E159" s="293"/>
      <c r="L159" s="482"/>
      <c r="P159" s="293"/>
    </row>
    <row r="160" spans="1:16" ht="12.3">
      <c r="A160" s="293"/>
      <c r="E160" s="293"/>
      <c r="L160" s="482"/>
      <c r="P160" s="293"/>
    </row>
    <row r="161" spans="1:16" ht="12.3">
      <c r="A161" s="293"/>
      <c r="E161" s="293"/>
      <c r="L161" s="482"/>
      <c r="P161" s="293"/>
    </row>
    <row r="162" spans="1:16" ht="12.3">
      <c r="A162" s="293"/>
      <c r="E162" s="293"/>
      <c r="L162" s="482"/>
      <c r="P162" s="293"/>
    </row>
    <row r="163" spans="1:16" ht="12.3">
      <c r="A163" s="293"/>
      <c r="E163" s="293"/>
      <c r="L163" s="482"/>
      <c r="P163" s="293"/>
    </row>
    <row r="164" spans="1:16" ht="12.3">
      <c r="A164" s="293"/>
      <c r="E164" s="293"/>
      <c r="L164" s="482"/>
      <c r="P164" s="293"/>
    </row>
    <row r="165" spans="1:16" ht="12.3">
      <c r="A165" s="293"/>
      <c r="E165" s="293"/>
      <c r="L165" s="482"/>
      <c r="P165" s="293"/>
    </row>
    <row r="166" spans="1:16" ht="12.3">
      <c r="A166" s="293"/>
      <c r="E166" s="293"/>
      <c r="L166" s="482"/>
      <c r="P166" s="293"/>
    </row>
    <row r="167" spans="1:16" ht="12.3">
      <c r="A167" s="293"/>
      <c r="E167" s="293"/>
      <c r="L167" s="482"/>
      <c r="P167" s="293"/>
    </row>
    <row r="168" spans="1:16" ht="12.3">
      <c r="A168" s="293"/>
      <c r="E168" s="293"/>
      <c r="L168" s="482"/>
      <c r="P168" s="293"/>
    </row>
    <row r="169" spans="1:16" ht="12.3">
      <c r="A169" s="293"/>
      <c r="E169" s="293"/>
      <c r="L169" s="482"/>
      <c r="P169" s="293"/>
    </row>
    <row r="170" spans="1:16" ht="12.3">
      <c r="A170" s="293"/>
      <c r="E170" s="293"/>
      <c r="L170" s="482"/>
      <c r="P170" s="293"/>
    </row>
    <row r="171" spans="1:16" ht="12.3">
      <c r="A171" s="293"/>
      <c r="E171" s="293"/>
      <c r="L171" s="482"/>
      <c r="P171" s="293"/>
    </row>
    <row r="172" spans="1:16" ht="12.3">
      <c r="A172" s="293"/>
      <c r="E172" s="293"/>
      <c r="L172" s="482"/>
      <c r="P172" s="293"/>
    </row>
    <row r="173" spans="1:16" ht="12.3">
      <c r="A173" s="293"/>
      <c r="E173" s="293"/>
      <c r="L173" s="482"/>
      <c r="P173" s="293"/>
    </row>
    <row r="174" spans="1:16" ht="12.3">
      <c r="A174" s="293"/>
      <c r="E174" s="293"/>
      <c r="L174" s="482"/>
      <c r="P174" s="293"/>
    </row>
    <row r="175" spans="1:16" ht="12.3">
      <c r="A175" s="293"/>
      <c r="E175" s="293"/>
      <c r="L175" s="482"/>
      <c r="P175" s="293"/>
    </row>
    <row r="176" spans="1:16" ht="12.3">
      <c r="A176" s="293"/>
      <c r="E176" s="293"/>
      <c r="L176" s="482"/>
      <c r="P176" s="293"/>
    </row>
    <row r="177" spans="1:16" ht="12.3">
      <c r="A177" s="293"/>
      <c r="E177" s="293"/>
      <c r="L177" s="482"/>
      <c r="P177" s="293"/>
    </row>
    <row r="178" spans="1:16" ht="12.3">
      <c r="A178" s="293"/>
      <c r="E178" s="293"/>
      <c r="L178" s="482"/>
      <c r="P178" s="293"/>
    </row>
    <row r="179" spans="1:16" ht="12.3">
      <c r="A179" s="293"/>
      <c r="E179" s="293"/>
      <c r="L179" s="482"/>
      <c r="P179" s="293"/>
    </row>
    <row r="180" spans="1:16" ht="12.3">
      <c r="A180" s="293"/>
      <c r="E180" s="293"/>
      <c r="L180" s="482"/>
      <c r="P180" s="293"/>
    </row>
    <row r="181" spans="1:16" ht="12.3">
      <c r="A181" s="293"/>
      <c r="E181" s="293"/>
      <c r="L181" s="482"/>
      <c r="P181" s="293"/>
    </row>
    <row r="182" spans="1:16" ht="12.3">
      <c r="A182" s="293"/>
      <c r="E182" s="293"/>
      <c r="L182" s="482"/>
      <c r="P182" s="293"/>
    </row>
    <row r="183" spans="1:16" ht="12.3">
      <c r="A183" s="293"/>
      <c r="E183" s="293"/>
      <c r="L183" s="482"/>
      <c r="P183" s="293"/>
    </row>
    <row r="184" spans="1:16" ht="12.3">
      <c r="A184" s="293"/>
      <c r="E184" s="293"/>
      <c r="L184" s="482"/>
      <c r="P184" s="293"/>
    </row>
    <row r="185" spans="1:16" ht="12.3">
      <c r="A185" s="293"/>
      <c r="E185" s="293"/>
      <c r="L185" s="482"/>
      <c r="P185" s="293"/>
    </row>
    <row r="186" spans="1:16" ht="12.3">
      <c r="A186" s="293"/>
      <c r="E186" s="293"/>
      <c r="L186" s="482"/>
      <c r="P186" s="293"/>
    </row>
    <row r="187" spans="1:16" ht="12.3">
      <c r="A187" s="293"/>
      <c r="E187" s="293"/>
      <c r="L187" s="482"/>
      <c r="P187" s="293"/>
    </row>
    <row r="188" spans="1:16" ht="12.3">
      <c r="A188" s="293"/>
      <c r="E188" s="293"/>
      <c r="L188" s="482"/>
      <c r="P188" s="293"/>
    </row>
    <row r="189" spans="1:16" ht="12.3">
      <c r="A189" s="293"/>
      <c r="E189" s="293"/>
      <c r="L189" s="482"/>
      <c r="P189" s="293"/>
    </row>
    <row r="190" spans="1:16" ht="12.3">
      <c r="A190" s="293"/>
      <c r="E190" s="293"/>
      <c r="L190" s="482"/>
      <c r="P190" s="293"/>
    </row>
    <row r="191" spans="1:16" ht="12.3">
      <c r="A191" s="293"/>
      <c r="E191" s="293"/>
      <c r="L191" s="482"/>
      <c r="P191" s="293"/>
    </row>
    <row r="192" spans="1:16" ht="12.3">
      <c r="A192" s="293"/>
      <c r="E192" s="293"/>
      <c r="L192" s="482"/>
      <c r="P192" s="293"/>
    </row>
    <row r="193" spans="1:16" ht="12.3">
      <c r="A193" s="293"/>
      <c r="E193" s="293"/>
      <c r="L193" s="482"/>
      <c r="P193" s="293"/>
    </row>
    <row r="194" spans="1:16" ht="12.3">
      <c r="A194" s="293"/>
      <c r="E194" s="293"/>
      <c r="L194" s="482"/>
      <c r="P194" s="293"/>
    </row>
    <row r="195" spans="1:16" ht="12.3">
      <c r="A195" s="293"/>
      <c r="E195" s="293"/>
      <c r="L195" s="482"/>
      <c r="P195" s="293"/>
    </row>
    <row r="196" spans="1:16" ht="12.3">
      <c r="A196" s="293"/>
      <c r="E196" s="293"/>
      <c r="L196" s="482"/>
      <c r="P196" s="293"/>
    </row>
    <row r="197" spans="1:16" ht="12.3">
      <c r="A197" s="293"/>
      <c r="E197" s="293"/>
      <c r="L197" s="482"/>
      <c r="P197" s="293"/>
    </row>
    <row r="198" spans="1:16" ht="12.3">
      <c r="A198" s="293"/>
      <c r="E198" s="293"/>
      <c r="L198" s="482"/>
      <c r="P198" s="293"/>
    </row>
    <row r="199" spans="1:16" ht="12.3">
      <c r="A199" s="293"/>
      <c r="E199" s="293"/>
      <c r="L199" s="482"/>
      <c r="P199" s="293"/>
    </row>
    <row r="200" spans="1:16" ht="12.3">
      <c r="A200" s="293"/>
      <c r="E200" s="293"/>
      <c r="L200" s="482"/>
      <c r="P200" s="293"/>
    </row>
    <row r="201" spans="1:16" ht="12.3">
      <c r="A201" s="293"/>
      <c r="E201" s="293"/>
      <c r="L201" s="482"/>
      <c r="P201" s="293"/>
    </row>
    <row r="202" spans="1:16" ht="12.3">
      <c r="A202" s="293"/>
      <c r="E202" s="293"/>
      <c r="L202" s="482"/>
      <c r="P202" s="293"/>
    </row>
    <row r="203" spans="1:16" ht="12.3">
      <c r="A203" s="293"/>
      <c r="E203" s="293"/>
      <c r="L203" s="482"/>
      <c r="P203" s="293"/>
    </row>
    <row r="204" spans="1:16" ht="12.3">
      <c r="A204" s="293"/>
      <c r="E204" s="293"/>
      <c r="L204" s="482"/>
      <c r="P204" s="293"/>
    </row>
    <row r="205" spans="1:16" ht="12.3">
      <c r="A205" s="293"/>
      <c r="E205" s="293"/>
      <c r="L205" s="482"/>
      <c r="P205" s="293"/>
    </row>
    <row r="206" spans="1:16" ht="12.3">
      <c r="A206" s="293"/>
      <c r="E206" s="293"/>
      <c r="L206" s="482"/>
      <c r="P206" s="293"/>
    </row>
    <row r="207" spans="1:16" ht="12.3">
      <c r="A207" s="293"/>
      <c r="E207" s="293"/>
      <c r="L207" s="482"/>
      <c r="P207" s="293"/>
    </row>
    <row r="208" spans="1:16" ht="12.3">
      <c r="A208" s="293"/>
      <c r="E208" s="293"/>
      <c r="L208" s="482"/>
      <c r="P208" s="293"/>
    </row>
    <row r="209" spans="1:16" ht="12.3">
      <c r="A209" s="293"/>
      <c r="E209" s="293"/>
      <c r="L209" s="482"/>
      <c r="P209" s="293"/>
    </row>
    <row r="210" spans="1:16" ht="12.3">
      <c r="A210" s="293"/>
      <c r="E210" s="293"/>
      <c r="L210" s="482"/>
      <c r="P210" s="293"/>
    </row>
    <row r="211" spans="1:16" ht="12.3">
      <c r="A211" s="293"/>
      <c r="E211" s="293"/>
      <c r="L211" s="482"/>
      <c r="P211" s="293"/>
    </row>
    <row r="212" spans="1:16" ht="12.3">
      <c r="A212" s="293"/>
      <c r="E212" s="293"/>
      <c r="L212" s="482"/>
      <c r="P212" s="293"/>
    </row>
    <row r="213" spans="1:16" ht="12.3">
      <c r="A213" s="293"/>
      <c r="E213" s="293"/>
      <c r="L213" s="482"/>
      <c r="P213" s="293"/>
    </row>
    <row r="214" spans="1:16" ht="12.3">
      <c r="A214" s="293"/>
      <c r="E214" s="293"/>
      <c r="L214" s="482"/>
      <c r="P214" s="293"/>
    </row>
    <row r="215" spans="1:16" ht="12.3">
      <c r="A215" s="293"/>
      <c r="E215" s="293"/>
      <c r="L215" s="482"/>
      <c r="P215" s="293"/>
    </row>
    <row r="216" spans="1:16" ht="12.3">
      <c r="A216" s="293"/>
      <c r="E216" s="293"/>
      <c r="L216" s="482"/>
      <c r="P216" s="293"/>
    </row>
    <row r="217" spans="1:16" ht="12.3">
      <c r="A217" s="293"/>
      <c r="E217" s="293"/>
      <c r="L217" s="482"/>
      <c r="P217" s="293"/>
    </row>
    <row r="218" spans="1:16" ht="12.3">
      <c r="A218" s="293"/>
      <c r="E218" s="293"/>
      <c r="L218" s="482"/>
      <c r="P218" s="293"/>
    </row>
    <row r="219" spans="1:16" ht="12.3">
      <c r="A219" s="293"/>
      <c r="E219" s="293"/>
      <c r="L219" s="482"/>
      <c r="P219" s="293"/>
    </row>
    <row r="220" spans="1:16" ht="12.3">
      <c r="A220" s="293"/>
      <c r="E220" s="293"/>
      <c r="L220" s="482"/>
      <c r="P220" s="293"/>
    </row>
    <row r="221" spans="1:16" ht="12.3">
      <c r="A221" s="293"/>
      <c r="E221" s="293"/>
      <c r="L221" s="482"/>
      <c r="P221" s="293"/>
    </row>
    <row r="222" spans="1:16" ht="12.3">
      <c r="A222" s="293"/>
      <c r="E222" s="293"/>
      <c r="L222" s="482"/>
      <c r="P222" s="293"/>
    </row>
    <row r="223" spans="1:16" ht="12.3">
      <c r="A223" s="293"/>
      <c r="E223" s="293"/>
      <c r="L223" s="482"/>
      <c r="P223" s="293"/>
    </row>
    <row r="224" spans="1:16" ht="12.3">
      <c r="A224" s="293"/>
      <c r="E224" s="293"/>
      <c r="L224" s="482"/>
      <c r="P224" s="293"/>
    </row>
    <row r="225" spans="1:16" ht="12.3">
      <c r="A225" s="293"/>
      <c r="E225" s="293"/>
      <c r="L225" s="482"/>
      <c r="P225" s="293"/>
    </row>
    <row r="226" spans="1:16" ht="12.3">
      <c r="A226" s="293"/>
      <c r="E226" s="293"/>
      <c r="L226" s="482"/>
      <c r="P226" s="293"/>
    </row>
    <row r="227" spans="1:16" ht="12.3">
      <c r="A227" s="293"/>
      <c r="E227" s="293"/>
      <c r="L227" s="482"/>
      <c r="P227" s="293"/>
    </row>
    <row r="228" spans="1:16" ht="12.3">
      <c r="A228" s="293"/>
      <c r="E228" s="293"/>
      <c r="L228" s="482"/>
      <c r="P228" s="293"/>
    </row>
    <row r="229" spans="1:16" ht="12.3">
      <c r="A229" s="293"/>
      <c r="E229" s="293"/>
      <c r="L229" s="482"/>
      <c r="P229" s="293"/>
    </row>
    <row r="230" spans="1:16" ht="12.3">
      <c r="A230" s="293"/>
      <c r="E230" s="293"/>
      <c r="L230" s="482"/>
      <c r="P230" s="293"/>
    </row>
    <row r="231" spans="1:16" ht="12.3">
      <c r="A231" s="293"/>
      <c r="E231" s="293"/>
      <c r="L231" s="482"/>
      <c r="P231" s="293"/>
    </row>
    <row r="232" spans="1:16" ht="12.3">
      <c r="A232" s="293"/>
      <c r="E232" s="293"/>
      <c r="L232" s="482"/>
      <c r="P232" s="293"/>
    </row>
    <row r="233" spans="1:16" ht="12.3">
      <c r="A233" s="293"/>
      <c r="E233" s="293"/>
      <c r="L233" s="482"/>
      <c r="P233" s="293"/>
    </row>
    <row r="234" spans="1:16" ht="12.3">
      <c r="A234" s="293"/>
      <c r="E234" s="293"/>
      <c r="L234" s="482"/>
      <c r="P234" s="293"/>
    </row>
    <row r="235" spans="1:16" ht="12.3">
      <c r="A235" s="293"/>
      <c r="E235" s="293"/>
      <c r="L235" s="482"/>
      <c r="P235" s="293"/>
    </row>
    <row r="236" spans="1:16" ht="12.3">
      <c r="A236" s="293"/>
      <c r="E236" s="293"/>
      <c r="L236" s="482"/>
      <c r="P236" s="293"/>
    </row>
    <row r="237" spans="1:16" ht="12.3">
      <c r="A237" s="293"/>
      <c r="E237" s="293"/>
      <c r="L237" s="482"/>
      <c r="P237" s="293"/>
    </row>
    <row r="238" spans="1:16" ht="12.3">
      <c r="A238" s="293"/>
      <c r="E238" s="293"/>
      <c r="L238" s="482"/>
      <c r="P238" s="293"/>
    </row>
    <row r="239" spans="1:16" ht="12.3">
      <c r="A239" s="293"/>
      <c r="E239" s="293"/>
      <c r="L239" s="482"/>
      <c r="P239" s="293"/>
    </row>
    <row r="240" spans="1:16" ht="12.3">
      <c r="A240" s="293"/>
      <c r="E240" s="293"/>
      <c r="L240" s="482"/>
      <c r="P240" s="293"/>
    </row>
    <row r="241" spans="1:16" ht="12.3">
      <c r="A241" s="293"/>
      <c r="E241" s="293"/>
      <c r="L241" s="482"/>
      <c r="P241" s="293"/>
    </row>
    <row r="242" spans="1:16" ht="12.3">
      <c r="A242" s="293"/>
      <c r="E242" s="293"/>
      <c r="L242" s="482"/>
      <c r="P242" s="293"/>
    </row>
    <row r="243" spans="1:16" ht="12.3">
      <c r="A243" s="293"/>
      <c r="E243" s="293"/>
      <c r="L243" s="482"/>
      <c r="P243" s="293"/>
    </row>
    <row r="244" spans="1:16" ht="12.3">
      <c r="A244" s="293"/>
      <c r="E244" s="293"/>
      <c r="L244" s="482"/>
      <c r="P244" s="293"/>
    </row>
    <row r="245" spans="1:16" ht="12.3">
      <c r="A245" s="293"/>
      <c r="E245" s="293"/>
      <c r="L245" s="482"/>
      <c r="P245" s="293"/>
    </row>
    <row r="246" spans="1:16" ht="12.3">
      <c r="A246" s="293"/>
      <c r="E246" s="293"/>
      <c r="L246" s="482"/>
      <c r="P246" s="293"/>
    </row>
    <row r="247" spans="1:16" ht="12.3">
      <c r="A247" s="293"/>
      <c r="E247" s="293"/>
      <c r="L247" s="482"/>
      <c r="P247" s="293"/>
    </row>
    <row r="248" spans="1:16" ht="12.3">
      <c r="A248" s="293"/>
      <c r="E248" s="293"/>
      <c r="L248" s="482"/>
      <c r="P248" s="293"/>
    </row>
    <row r="249" spans="1:16" ht="12.3">
      <c r="A249" s="293"/>
      <c r="E249" s="293"/>
      <c r="L249" s="482"/>
      <c r="P249" s="293"/>
    </row>
    <row r="250" spans="1:16" ht="12.3">
      <c r="A250" s="293"/>
      <c r="E250" s="293"/>
      <c r="L250" s="482"/>
      <c r="P250" s="293"/>
    </row>
    <row r="251" spans="1:16" ht="12.3">
      <c r="A251" s="293"/>
      <c r="E251" s="293"/>
      <c r="L251" s="482"/>
      <c r="P251" s="293"/>
    </row>
    <row r="252" spans="1:16" ht="12.3">
      <c r="A252" s="293"/>
      <c r="E252" s="293"/>
      <c r="L252" s="482"/>
      <c r="P252" s="293"/>
    </row>
    <row r="253" spans="1:16" ht="12.3">
      <c r="A253" s="293"/>
      <c r="E253" s="293"/>
      <c r="L253" s="482"/>
      <c r="P253" s="293"/>
    </row>
    <row r="254" spans="1:16" ht="12.3">
      <c r="A254" s="293"/>
      <c r="E254" s="293"/>
      <c r="L254" s="482"/>
      <c r="P254" s="293"/>
    </row>
    <row r="255" spans="1:16" ht="12.3">
      <c r="A255" s="293"/>
      <c r="E255" s="293"/>
      <c r="L255" s="482"/>
      <c r="P255" s="293"/>
    </row>
    <row r="256" spans="1:16" ht="12.3">
      <c r="A256" s="293"/>
      <c r="E256" s="293"/>
      <c r="L256" s="482"/>
      <c r="P256" s="293"/>
    </row>
    <row r="257" spans="1:16" ht="12.3">
      <c r="A257" s="293"/>
      <c r="E257" s="293"/>
      <c r="L257" s="482"/>
      <c r="P257" s="293"/>
    </row>
    <row r="258" spans="1:16" ht="12.3">
      <c r="A258" s="293"/>
      <c r="E258" s="293"/>
      <c r="L258" s="482"/>
      <c r="P258" s="293"/>
    </row>
    <row r="259" spans="1:16" ht="12.3">
      <c r="A259" s="293"/>
      <c r="E259" s="293"/>
      <c r="L259" s="482"/>
      <c r="P259" s="293"/>
    </row>
    <row r="260" spans="1:16" ht="12.3">
      <c r="A260" s="293"/>
      <c r="E260" s="293"/>
      <c r="L260" s="482"/>
      <c r="P260" s="293"/>
    </row>
    <row r="261" spans="1:16" ht="12.3">
      <c r="A261" s="293"/>
      <c r="E261" s="293"/>
      <c r="L261" s="482"/>
      <c r="P261" s="293"/>
    </row>
    <row r="262" spans="1:16" ht="12.3">
      <c r="A262" s="293"/>
      <c r="E262" s="293"/>
      <c r="L262" s="482"/>
      <c r="P262" s="293"/>
    </row>
    <row r="263" spans="1:16" ht="12.3">
      <c r="A263" s="293"/>
      <c r="E263" s="293"/>
      <c r="L263" s="482"/>
      <c r="P263" s="293"/>
    </row>
    <row r="264" spans="1:16" ht="12.3">
      <c r="A264" s="293"/>
      <c r="E264" s="293"/>
      <c r="L264" s="482"/>
      <c r="P264" s="293"/>
    </row>
    <row r="265" spans="1:16" ht="12.3">
      <c r="A265" s="293"/>
      <c r="E265" s="293"/>
      <c r="L265" s="482"/>
      <c r="P265" s="293"/>
    </row>
    <row r="266" spans="1:16" ht="12.3">
      <c r="A266" s="293"/>
      <c r="E266" s="293"/>
      <c r="L266" s="482"/>
      <c r="P266" s="293"/>
    </row>
    <row r="267" spans="1:16" ht="12.3">
      <c r="A267" s="293"/>
      <c r="E267" s="293"/>
      <c r="L267" s="482"/>
      <c r="P267" s="293"/>
    </row>
    <row r="268" spans="1:16" ht="12.3">
      <c r="A268" s="293"/>
      <c r="E268" s="293"/>
      <c r="L268" s="482"/>
      <c r="P268" s="293"/>
    </row>
    <row r="269" spans="1:16" ht="12.3">
      <c r="A269" s="293"/>
      <c r="E269" s="293"/>
      <c r="L269" s="482"/>
      <c r="P269" s="293"/>
    </row>
    <row r="270" spans="1:16" ht="12.3">
      <c r="A270" s="293"/>
      <c r="E270" s="293"/>
      <c r="L270" s="482"/>
      <c r="P270" s="293"/>
    </row>
    <row r="271" spans="1:16" ht="12.3">
      <c r="A271" s="293"/>
      <c r="E271" s="293"/>
      <c r="L271" s="482"/>
      <c r="P271" s="293"/>
    </row>
    <row r="272" spans="1:16" ht="12.3">
      <c r="A272" s="293"/>
      <c r="E272" s="293"/>
      <c r="L272" s="482"/>
      <c r="P272" s="293"/>
    </row>
    <row r="273" spans="1:16" ht="12.3">
      <c r="A273" s="293"/>
      <c r="E273" s="293"/>
      <c r="L273" s="482"/>
      <c r="P273" s="293"/>
    </row>
    <row r="274" spans="1:16" ht="12.3">
      <c r="A274" s="293"/>
      <c r="E274" s="293"/>
      <c r="L274" s="482"/>
      <c r="P274" s="293"/>
    </row>
    <row r="275" spans="1:16" ht="12.3">
      <c r="A275" s="293"/>
      <c r="E275" s="293"/>
      <c r="L275" s="482"/>
      <c r="P275" s="293"/>
    </row>
    <row r="276" spans="1:16" ht="12.3">
      <c r="A276" s="293"/>
      <c r="E276" s="293"/>
      <c r="L276" s="482"/>
      <c r="P276" s="293"/>
    </row>
    <row r="277" spans="1:16" ht="12.3">
      <c r="A277" s="293"/>
      <c r="E277" s="293"/>
      <c r="L277" s="482"/>
      <c r="P277" s="293"/>
    </row>
    <row r="278" spans="1:16" ht="12.3">
      <c r="A278" s="293"/>
      <c r="E278" s="293"/>
      <c r="L278" s="482"/>
      <c r="P278" s="293"/>
    </row>
    <row r="279" spans="1:16" ht="12.3">
      <c r="A279" s="293"/>
      <c r="E279" s="293"/>
      <c r="L279" s="482"/>
      <c r="P279" s="293"/>
    </row>
    <row r="280" spans="1:16" ht="12.3">
      <c r="A280" s="293"/>
      <c r="E280" s="293"/>
      <c r="L280" s="482"/>
      <c r="P280" s="293"/>
    </row>
    <row r="281" spans="1:16" ht="12.3">
      <c r="A281" s="293"/>
      <c r="E281" s="293"/>
      <c r="L281" s="482"/>
      <c r="P281" s="293"/>
    </row>
    <row r="282" spans="1:16" ht="12.3">
      <c r="A282" s="293"/>
      <c r="E282" s="293"/>
      <c r="L282" s="482"/>
      <c r="P282" s="293"/>
    </row>
    <row r="283" spans="1:16" ht="12.3">
      <c r="A283" s="293"/>
      <c r="E283" s="293"/>
      <c r="L283" s="482"/>
      <c r="P283" s="293"/>
    </row>
    <row r="284" spans="1:16" ht="12.3">
      <c r="A284" s="293"/>
      <c r="E284" s="293"/>
      <c r="L284" s="482"/>
      <c r="P284" s="293"/>
    </row>
    <row r="285" spans="1:16" ht="12.3">
      <c r="A285" s="293"/>
      <c r="E285" s="293"/>
      <c r="L285" s="482"/>
      <c r="P285" s="293"/>
    </row>
    <row r="286" spans="1:16" ht="12.3">
      <c r="A286" s="293"/>
      <c r="E286" s="293"/>
      <c r="L286" s="482"/>
      <c r="P286" s="293"/>
    </row>
    <row r="287" spans="1:16" ht="12.3">
      <c r="A287" s="293"/>
      <c r="E287" s="293"/>
      <c r="L287" s="482"/>
      <c r="P287" s="293"/>
    </row>
    <row r="288" spans="1:16" ht="12.3">
      <c r="A288" s="293"/>
      <c r="E288" s="293"/>
      <c r="L288" s="482"/>
      <c r="P288" s="293"/>
    </row>
    <row r="289" spans="1:16" ht="12.3">
      <c r="A289" s="293"/>
      <c r="E289" s="293"/>
      <c r="L289" s="482"/>
      <c r="P289" s="293"/>
    </row>
    <row r="290" spans="1:16" ht="12.3">
      <c r="A290" s="293"/>
      <c r="E290" s="293"/>
      <c r="L290" s="482"/>
      <c r="P290" s="293"/>
    </row>
    <row r="291" spans="1:16" ht="12.3">
      <c r="A291" s="293"/>
      <c r="E291" s="293"/>
      <c r="L291" s="482"/>
      <c r="P291" s="293"/>
    </row>
    <row r="292" spans="1:16" ht="12.3">
      <c r="A292" s="293"/>
      <c r="E292" s="293"/>
      <c r="L292" s="482"/>
      <c r="P292" s="293"/>
    </row>
    <row r="293" spans="1:16" ht="12.3">
      <c r="A293" s="293"/>
      <c r="E293" s="293"/>
      <c r="L293" s="482"/>
      <c r="P293" s="293"/>
    </row>
    <row r="294" spans="1:16" ht="12.3">
      <c r="A294" s="293"/>
      <c r="E294" s="293"/>
      <c r="L294" s="482"/>
      <c r="P294" s="293"/>
    </row>
    <row r="295" spans="1:16" ht="12.3">
      <c r="A295" s="293"/>
      <c r="E295" s="293"/>
      <c r="L295" s="482"/>
      <c r="P295" s="293"/>
    </row>
    <row r="296" spans="1:16" ht="12.3">
      <c r="A296" s="293"/>
      <c r="E296" s="293"/>
      <c r="L296" s="482"/>
      <c r="P296" s="293"/>
    </row>
    <row r="297" spans="1:16" ht="12.3">
      <c r="A297" s="293"/>
      <c r="E297" s="293"/>
      <c r="L297" s="482"/>
      <c r="P297" s="293"/>
    </row>
    <row r="298" spans="1:16" ht="12.3">
      <c r="A298" s="293"/>
      <c r="E298" s="293"/>
      <c r="L298" s="482"/>
      <c r="P298" s="293"/>
    </row>
    <row r="299" spans="1:16" ht="12.3">
      <c r="A299" s="293"/>
      <c r="E299" s="293"/>
      <c r="L299" s="482"/>
      <c r="P299" s="293"/>
    </row>
    <row r="300" spans="1:16" ht="12.3">
      <c r="A300" s="293"/>
      <c r="E300" s="293"/>
      <c r="L300" s="482"/>
      <c r="P300" s="293"/>
    </row>
    <row r="301" spans="1:16" ht="12.3">
      <c r="A301" s="293"/>
      <c r="E301" s="293"/>
      <c r="L301" s="482"/>
      <c r="P301" s="293"/>
    </row>
    <row r="302" spans="1:16" ht="12.3">
      <c r="A302" s="293"/>
      <c r="E302" s="293"/>
      <c r="L302" s="482"/>
      <c r="P302" s="293"/>
    </row>
    <row r="303" spans="1:16" ht="12.3">
      <c r="A303" s="293"/>
      <c r="E303" s="293"/>
      <c r="L303" s="482"/>
      <c r="P303" s="293"/>
    </row>
    <row r="304" spans="1:16" ht="12.3">
      <c r="A304" s="293"/>
      <c r="E304" s="293"/>
      <c r="L304" s="482"/>
      <c r="P304" s="293"/>
    </row>
    <row r="305" spans="1:16" ht="12.3">
      <c r="A305" s="293"/>
      <c r="E305" s="293"/>
      <c r="L305" s="482"/>
      <c r="P305" s="293"/>
    </row>
    <row r="306" spans="1:16" ht="12.3">
      <c r="A306" s="293"/>
      <c r="E306" s="293"/>
      <c r="L306" s="482"/>
      <c r="P306" s="293"/>
    </row>
    <row r="307" spans="1:16" ht="12.3">
      <c r="A307" s="293"/>
      <c r="E307" s="293"/>
      <c r="L307" s="482"/>
      <c r="P307" s="293"/>
    </row>
    <row r="308" spans="1:16" ht="12.3">
      <c r="A308" s="293"/>
      <c r="E308" s="293"/>
      <c r="L308" s="482"/>
      <c r="P308" s="293"/>
    </row>
    <row r="309" spans="1:16" ht="12.3">
      <c r="A309" s="293"/>
      <c r="E309" s="293"/>
      <c r="L309" s="482"/>
      <c r="P309" s="293"/>
    </row>
    <row r="310" spans="1:16" ht="12.3">
      <c r="A310" s="293"/>
      <c r="E310" s="293"/>
      <c r="L310" s="482"/>
      <c r="P310" s="293"/>
    </row>
    <row r="311" spans="1:16" ht="12.3">
      <c r="A311" s="293"/>
      <c r="E311" s="293"/>
      <c r="L311" s="482"/>
      <c r="P311" s="293"/>
    </row>
    <row r="312" spans="1:16" ht="12.3">
      <c r="A312" s="293"/>
      <c r="E312" s="293"/>
      <c r="L312" s="482"/>
      <c r="P312" s="293"/>
    </row>
    <row r="313" spans="1:16" ht="12.3">
      <c r="A313" s="293"/>
      <c r="E313" s="293"/>
      <c r="L313" s="482"/>
      <c r="P313" s="293"/>
    </row>
    <row r="314" spans="1:16" ht="12.3">
      <c r="A314" s="293"/>
      <c r="E314" s="293"/>
      <c r="L314" s="482"/>
      <c r="P314" s="293"/>
    </row>
    <row r="315" spans="1:16" ht="12.3">
      <c r="A315" s="293"/>
      <c r="E315" s="293"/>
      <c r="L315" s="482"/>
      <c r="P315" s="293"/>
    </row>
    <row r="316" spans="1:16" ht="12.3">
      <c r="A316" s="293"/>
      <c r="E316" s="293"/>
      <c r="L316" s="482"/>
      <c r="P316" s="293"/>
    </row>
    <row r="317" spans="1:16" ht="12.3">
      <c r="A317" s="293"/>
      <c r="E317" s="293"/>
      <c r="L317" s="482"/>
      <c r="P317" s="293"/>
    </row>
    <row r="318" spans="1:16" ht="12.3">
      <c r="A318" s="293"/>
      <c r="E318" s="293"/>
      <c r="L318" s="482"/>
      <c r="P318" s="293"/>
    </row>
    <row r="319" spans="1:16" ht="12.3">
      <c r="A319" s="293"/>
      <c r="E319" s="293"/>
      <c r="L319" s="482"/>
      <c r="P319" s="293"/>
    </row>
    <row r="320" spans="1:16" ht="12.3">
      <c r="A320" s="293"/>
      <c r="E320" s="293"/>
      <c r="L320" s="482"/>
      <c r="P320" s="293"/>
    </row>
    <row r="321" spans="1:16" ht="12.3">
      <c r="A321" s="293"/>
      <c r="E321" s="293"/>
      <c r="L321" s="482"/>
      <c r="P321" s="293"/>
    </row>
    <row r="322" spans="1:16" ht="12.3">
      <c r="A322" s="293"/>
      <c r="E322" s="293"/>
      <c r="L322" s="482"/>
      <c r="P322" s="293"/>
    </row>
    <row r="323" spans="1:16" ht="12.3">
      <c r="A323" s="293"/>
      <c r="E323" s="293"/>
      <c r="L323" s="482"/>
      <c r="P323" s="293"/>
    </row>
    <row r="324" spans="1:16" ht="12.3">
      <c r="A324" s="293"/>
      <c r="E324" s="293"/>
      <c r="L324" s="482"/>
      <c r="P324" s="293"/>
    </row>
    <row r="325" spans="1:16" ht="12.3">
      <c r="A325" s="293"/>
      <c r="E325" s="293"/>
      <c r="L325" s="482"/>
      <c r="P325" s="293"/>
    </row>
    <row r="326" spans="1:16" ht="12.3">
      <c r="A326" s="293"/>
      <c r="E326" s="293"/>
      <c r="L326" s="482"/>
      <c r="P326" s="293"/>
    </row>
    <row r="327" spans="1:16" ht="12.3">
      <c r="A327" s="293"/>
      <c r="E327" s="293"/>
      <c r="L327" s="482"/>
      <c r="P327" s="293"/>
    </row>
    <row r="328" spans="1:16" ht="12.3">
      <c r="A328" s="293"/>
      <c r="E328" s="293"/>
      <c r="L328" s="482"/>
      <c r="P328" s="293"/>
    </row>
    <row r="329" spans="1:16" ht="12.3">
      <c r="A329" s="293"/>
      <c r="E329" s="293"/>
      <c r="L329" s="482"/>
      <c r="P329" s="293"/>
    </row>
    <row r="330" spans="1:16" ht="12.3">
      <c r="A330" s="293"/>
      <c r="E330" s="293"/>
      <c r="L330" s="482"/>
      <c r="P330" s="293"/>
    </row>
    <row r="331" spans="1:16" ht="12.3">
      <c r="A331" s="293"/>
      <c r="E331" s="293"/>
      <c r="L331" s="482"/>
      <c r="P331" s="293"/>
    </row>
    <row r="332" spans="1:16" ht="12.3">
      <c r="A332" s="293"/>
      <c r="E332" s="293"/>
      <c r="L332" s="482"/>
      <c r="P332" s="293"/>
    </row>
    <row r="333" spans="1:16" ht="12.3">
      <c r="A333" s="293"/>
      <c r="E333" s="293"/>
      <c r="L333" s="482"/>
      <c r="P333" s="293"/>
    </row>
    <row r="334" spans="1:16" ht="12.3">
      <c r="A334" s="293"/>
      <c r="E334" s="293"/>
      <c r="L334" s="482"/>
      <c r="P334" s="293"/>
    </row>
    <row r="335" spans="1:16" ht="12.3">
      <c r="A335" s="293"/>
      <c r="E335" s="293"/>
      <c r="L335" s="482"/>
      <c r="P335" s="293"/>
    </row>
    <row r="336" spans="1:16" ht="12.3">
      <c r="A336" s="293"/>
      <c r="E336" s="293"/>
      <c r="L336" s="482"/>
      <c r="P336" s="293"/>
    </row>
    <row r="337" spans="1:16" ht="12.3">
      <c r="A337" s="293"/>
      <c r="E337" s="293"/>
      <c r="L337" s="482"/>
      <c r="P337" s="293"/>
    </row>
    <row r="338" spans="1:16" ht="12.3">
      <c r="A338" s="293"/>
      <c r="E338" s="293"/>
      <c r="L338" s="482"/>
      <c r="P338" s="293"/>
    </row>
    <row r="339" spans="1:16" ht="12.3">
      <c r="A339" s="293"/>
      <c r="E339" s="293"/>
      <c r="L339" s="482"/>
      <c r="P339" s="293"/>
    </row>
    <row r="340" spans="1:16" ht="12.3">
      <c r="A340" s="293"/>
      <c r="E340" s="293"/>
      <c r="L340" s="482"/>
      <c r="P340" s="293"/>
    </row>
    <row r="341" spans="1:16" ht="12.3">
      <c r="A341" s="293"/>
      <c r="E341" s="293"/>
      <c r="L341" s="482"/>
      <c r="P341" s="293"/>
    </row>
    <row r="342" spans="1:16" ht="12.3">
      <c r="A342" s="293"/>
      <c r="E342" s="293"/>
      <c r="L342" s="482"/>
      <c r="P342" s="293"/>
    </row>
    <row r="343" spans="1:16" ht="12.3">
      <c r="A343" s="293"/>
      <c r="E343" s="293"/>
      <c r="L343" s="482"/>
      <c r="P343" s="293"/>
    </row>
    <row r="344" spans="1:16" ht="12.3">
      <c r="A344" s="293"/>
      <c r="E344" s="293"/>
      <c r="L344" s="482"/>
      <c r="P344" s="293"/>
    </row>
    <row r="345" spans="1:16" ht="12.3">
      <c r="A345" s="293"/>
      <c r="E345" s="293"/>
      <c r="L345" s="482"/>
      <c r="P345" s="293"/>
    </row>
    <row r="346" spans="1:16" ht="12.3">
      <c r="A346" s="293"/>
      <c r="E346" s="293"/>
      <c r="L346" s="482"/>
      <c r="P346" s="293"/>
    </row>
    <row r="347" spans="1:16" ht="12.3">
      <c r="A347" s="293"/>
      <c r="E347" s="293"/>
      <c r="L347" s="482"/>
      <c r="P347" s="293"/>
    </row>
    <row r="348" spans="1:16" ht="12.3">
      <c r="A348" s="293"/>
      <c r="E348" s="293"/>
      <c r="L348" s="482"/>
      <c r="P348" s="293"/>
    </row>
    <row r="349" spans="1:16" ht="12.3">
      <c r="A349" s="293"/>
      <c r="E349" s="293"/>
      <c r="L349" s="482"/>
      <c r="P349" s="293"/>
    </row>
    <row r="350" spans="1:16" ht="12.3">
      <c r="A350" s="293"/>
      <c r="E350" s="293"/>
      <c r="L350" s="482"/>
      <c r="P350" s="293"/>
    </row>
    <row r="351" spans="1:16" ht="12.3">
      <c r="A351" s="293"/>
      <c r="E351" s="293"/>
      <c r="L351" s="482"/>
      <c r="P351" s="293"/>
    </row>
    <row r="352" spans="1:16" ht="12.3">
      <c r="A352" s="293"/>
      <c r="E352" s="293"/>
      <c r="L352" s="482"/>
      <c r="P352" s="293"/>
    </row>
    <row r="353" spans="1:16" ht="12.3">
      <c r="A353" s="293"/>
      <c r="E353" s="293"/>
      <c r="L353" s="482"/>
      <c r="P353" s="293"/>
    </row>
    <row r="354" spans="1:16" ht="12.3">
      <c r="A354" s="293"/>
      <c r="E354" s="293"/>
      <c r="L354" s="482"/>
      <c r="P354" s="293"/>
    </row>
    <row r="355" spans="1:16" ht="12.3">
      <c r="A355" s="293"/>
      <c r="E355" s="293"/>
      <c r="L355" s="482"/>
      <c r="P355" s="293"/>
    </row>
    <row r="356" spans="1:16" ht="12.3">
      <c r="A356" s="293"/>
      <c r="E356" s="293"/>
      <c r="L356" s="482"/>
      <c r="P356" s="293"/>
    </row>
    <row r="357" spans="1:16" ht="12.3">
      <c r="A357" s="293"/>
      <c r="E357" s="293"/>
      <c r="L357" s="482"/>
      <c r="P357" s="293"/>
    </row>
    <row r="358" spans="1:16" ht="12.3">
      <c r="A358" s="293"/>
      <c r="E358" s="293"/>
      <c r="L358" s="482"/>
      <c r="P358" s="293"/>
    </row>
    <row r="359" spans="1:16" ht="12.3">
      <c r="A359" s="293"/>
      <c r="E359" s="293"/>
      <c r="L359" s="482"/>
      <c r="P359" s="293"/>
    </row>
    <row r="360" spans="1:16" ht="12.3">
      <c r="A360" s="293"/>
      <c r="E360" s="293"/>
      <c r="L360" s="482"/>
      <c r="P360" s="293"/>
    </row>
    <row r="361" spans="1:16" ht="12.3">
      <c r="A361" s="293"/>
      <c r="E361" s="293"/>
      <c r="L361" s="482"/>
      <c r="P361" s="293"/>
    </row>
    <row r="362" spans="1:16" ht="12.3">
      <c r="A362" s="293"/>
      <c r="E362" s="293"/>
      <c r="L362" s="482"/>
      <c r="P362" s="293"/>
    </row>
    <row r="363" spans="1:16" ht="12.3">
      <c r="A363" s="293"/>
      <c r="E363" s="293"/>
      <c r="L363" s="482"/>
      <c r="P363" s="293"/>
    </row>
    <row r="364" spans="1:16" ht="12.3">
      <c r="A364" s="293"/>
      <c r="E364" s="293"/>
      <c r="L364" s="482"/>
      <c r="P364" s="293"/>
    </row>
    <row r="365" spans="1:16" ht="12.3">
      <c r="A365" s="293"/>
      <c r="E365" s="293"/>
      <c r="L365" s="482"/>
      <c r="P365" s="293"/>
    </row>
    <row r="366" spans="1:16" ht="12.3">
      <c r="A366" s="293"/>
      <c r="E366" s="293"/>
      <c r="L366" s="482"/>
      <c r="P366" s="293"/>
    </row>
    <row r="367" spans="1:16" ht="12.3">
      <c r="A367" s="293"/>
      <c r="E367" s="293"/>
      <c r="L367" s="482"/>
      <c r="P367" s="293"/>
    </row>
    <row r="368" spans="1:16" ht="12.3">
      <c r="A368" s="293"/>
      <c r="E368" s="293"/>
      <c r="L368" s="482"/>
      <c r="P368" s="293"/>
    </row>
    <row r="369" spans="1:16" ht="12.3">
      <c r="A369" s="293"/>
      <c r="E369" s="293"/>
      <c r="L369" s="482"/>
      <c r="P369" s="293"/>
    </row>
    <row r="370" spans="1:16" ht="12.3">
      <c r="A370" s="293"/>
      <c r="E370" s="293"/>
      <c r="L370" s="482"/>
      <c r="P370" s="293"/>
    </row>
    <row r="371" spans="1:16" ht="12.3">
      <c r="A371" s="293"/>
      <c r="E371" s="293"/>
      <c r="L371" s="482"/>
      <c r="P371" s="293"/>
    </row>
    <row r="372" spans="1:16" ht="12.3">
      <c r="A372" s="293"/>
      <c r="E372" s="293"/>
      <c r="L372" s="482"/>
      <c r="P372" s="293"/>
    </row>
    <row r="373" spans="1:16" ht="12.3">
      <c r="A373" s="293"/>
      <c r="E373" s="293"/>
      <c r="L373" s="482"/>
      <c r="P373" s="293"/>
    </row>
    <row r="374" spans="1:16" ht="12.3">
      <c r="A374" s="293"/>
      <c r="E374" s="293"/>
      <c r="L374" s="482"/>
      <c r="P374" s="293"/>
    </row>
    <row r="375" spans="1:16" ht="12.3">
      <c r="A375" s="293"/>
      <c r="E375" s="293"/>
      <c r="L375" s="482"/>
      <c r="P375" s="293"/>
    </row>
    <row r="376" spans="1:16" ht="12.3">
      <c r="A376" s="293"/>
      <c r="E376" s="293"/>
      <c r="L376" s="482"/>
      <c r="P376" s="293"/>
    </row>
    <row r="377" spans="1:16" ht="12.3">
      <c r="A377" s="293"/>
      <c r="E377" s="293"/>
      <c r="L377" s="482"/>
      <c r="P377" s="293"/>
    </row>
    <row r="378" spans="1:16" ht="12.3">
      <c r="A378" s="293"/>
      <c r="E378" s="293"/>
      <c r="L378" s="482"/>
      <c r="P378" s="293"/>
    </row>
    <row r="379" spans="1:16" ht="12.3">
      <c r="A379" s="293"/>
      <c r="E379" s="293"/>
      <c r="L379" s="482"/>
      <c r="P379" s="293"/>
    </row>
    <row r="380" spans="1:16" ht="12.3">
      <c r="A380" s="293"/>
      <c r="E380" s="293"/>
      <c r="L380" s="482"/>
      <c r="P380" s="293"/>
    </row>
    <row r="381" spans="1:16" ht="12.3">
      <c r="A381" s="293"/>
      <c r="E381" s="293"/>
      <c r="L381" s="482"/>
      <c r="P381" s="293"/>
    </row>
    <row r="382" spans="1:16" ht="12.3">
      <c r="A382" s="293"/>
      <c r="E382" s="293"/>
      <c r="L382" s="482"/>
      <c r="P382" s="293"/>
    </row>
    <row r="383" spans="1:16" ht="12.3">
      <c r="A383" s="293"/>
      <c r="E383" s="293"/>
      <c r="L383" s="482"/>
      <c r="P383" s="293"/>
    </row>
    <row r="384" spans="1:16" ht="12.3">
      <c r="A384" s="293"/>
      <c r="E384" s="293"/>
      <c r="L384" s="482"/>
      <c r="P384" s="293"/>
    </row>
    <row r="385" spans="1:16" ht="12.3">
      <c r="A385" s="293"/>
      <c r="E385" s="293"/>
      <c r="L385" s="482"/>
      <c r="P385" s="293"/>
    </row>
    <row r="386" spans="1:16" ht="12.3">
      <c r="A386" s="293"/>
      <c r="E386" s="293"/>
      <c r="L386" s="482"/>
      <c r="P386" s="293"/>
    </row>
    <row r="387" spans="1:16" ht="12.3">
      <c r="A387" s="293"/>
      <c r="E387" s="293"/>
      <c r="L387" s="482"/>
      <c r="P387" s="293"/>
    </row>
    <row r="388" spans="1:16" ht="12.3">
      <c r="A388" s="293"/>
      <c r="E388" s="293"/>
      <c r="L388" s="482"/>
      <c r="P388" s="293"/>
    </row>
    <row r="389" spans="1:16" ht="12.3">
      <c r="A389" s="293"/>
      <c r="E389" s="293"/>
      <c r="L389" s="482"/>
      <c r="P389" s="293"/>
    </row>
    <row r="390" spans="1:16" ht="12.3">
      <c r="A390" s="293"/>
      <c r="E390" s="293"/>
      <c r="L390" s="482"/>
      <c r="P390" s="293"/>
    </row>
    <row r="391" spans="1:16" ht="12.3">
      <c r="A391" s="293"/>
      <c r="E391" s="293"/>
      <c r="L391" s="482"/>
      <c r="P391" s="293"/>
    </row>
    <row r="392" spans="1:16" ht="12.3">
      <c r="A392" s="293"/>
      <c r="E392" s="293"/>
      <c r="L392" s="482"/>
      <c r="P392" s="293"/>
    </row>
    <row r="393" spans="1:16" ht="12.3">
      <c r="A393" s="293"/>
      <c r="E393" s="293"/>
      <c r="L393" s="482"/>
      <c r="P393" s="293"/>
    </row>
    <row r="394" spans="1:16" ht="12.3">
      <c r="A394" s="293"/>
      <c r="E394" s="293"/>
      <c r="L394" s="482"/>
      <c r="P394" s="293"/>
    </row>
    <row r="395" spans="1:16" ht="12.3">
      <c r="A395" s="293"/>
      <c r="E395" s="293"/>
      <c r="L395" s="482"/>
      <c r="P395" s="293"/>
    </row>
    <row r="396" spans="1:16" ht="12.3">
      <c r="A396" s="293"/>
      <c r="E396" s="293"/>
      <c r="L396" s="482"/>
      <c r="P396" s="293"/>
    </row>
    <row r="397" spans="1:16" ht="12.3">
      <c r="A397" s="293"/>
      <c r="E397" s="293"/>
      <c r="L397" s="482"/>
      <c r="P397" s="293"/>
    </row>
    <row r="398" spans="1:16" ht="12.3">
      <c r="A398" s="293"/>
      <c r="E398" s="293"/>
      <c r="L398" s="482"/>
      <c r="P398" s="293"/>
    </row>
    <row r="399" spans="1:16" ht="12.3">
      <c r="A399" s="293"/>
      <c r="E399" s="293"/>
      <c r="L399" s="482"/>
      <c r="P399" s="293"/>
    </row>
    <row r="400" spans="1:16" ht="12.3">
      <c r="A400" s="293"/>
      <c r="E400" s="293"/>
      <c r="L400" s="482"/>
      <c r="P400" s="293"/>
    </row>
    <row r="401" spans="1:16" ht="12.3">
      <c r="A401" s="293"/>
      <c r="E401" s="293"/>
      <c r="L401" s="482"/>
      <c r="P401" s="293"/>
    </row>
    <row r="402" spans="1:16" ht="12.3">
      <c r="A402" s="293"/>
      <c r="E402" s="293"/>
      <c r="L402" s="482"/>
      <c r="P402" s="293"/>
    </row>
    <row r="403" spans="1:16" ht="12.3">
      <c r="A403" s="293"/>
      <c r="E403" s="293"/>
      <c r="L403" s="482"/>
      <c r="P403" s="293"/>
    </row>
    <row r="404" spans="1:16" ht="12.3">
      <c r="A404" s="293"/>
      <c r="E404" s="293"/>
      <c r="L404" s="482"/>
      <c r="P404" s="293"/>
    </row>
    <row r="405" spans="1:16" ht="12.3">
      <c r="A405" s="293"/>
      <c r="E405" s="293"/>
      <c r="L405" s="482"/>
      <c r="P405" s="293"/>
    </row>
    <row r="406" spans="1:16" ht="12.3">
      <c r="A406" s="293"/>
      <c r="E406" s="293"/>
      <c r="L406" s="482"/>
      <c r="P406" s="293"/>
    </row>
    <row r="407" spans="1:16" ht="12.3">
      <c r="A407" s="293"/>
      <c r="E407" s="293"/>
      <c r="L407" s="482"/>
      <c r="P407" s="293"/>
    </row>
    <row r="408" spans="1:16" ht="12.3">
      <c r="A408" s="293"/>
      <c r="E408" s="293"/>
      <c r="L408" s="482"/>
      <c r="P408" s="293"/>
    </row>
    <row r="409" spans="1:16" ht="12.3">
      <c r="A409" s="293"/>
      <c r="E409" s="293"/>
      <c r="L409" s="482"/>
      <c r="P409" s="293"/>
    </row>
    <row r="410" spans="1:16" ht="12.3">
      <c r="A410" s="293"/>
      <c r="E410" s="293"/>
      <c r="L410" s="482"/>
      <c r="P410" s="293"/>
    </row>
    <row r="411" spans="1:16" ht="12.3">
      <c r="A411" s="293"/>
      <c r="E411" s="293"/>
      <c r="L411" s="482"/>
      <c r="P411" s="293"/>
    </row>
    <row r="412" spans="1:16" ht="12.3">
      <c r="A412" s="293"/>
      <c r="E412" s="293"/>
      <c r="L412" s="482"/>
      <c r="P412" s="293"/>
    </row>
    <row r="413" spans="1:16" ht="12.3">
      <c r="A413" s="293"/>
      <c r="E413" s="293"/>
      <c r="L413" s="482"/>
      <c r="P413" s="293"/>
    </row>
    <row r="414" spans="1:16" ht="12.3">
      <c r="A414" s="293"/>
      <c r="E414" s="293"/>
      <c r="L414" s="482"/>
      <c r="P414" s="293"/>
    </row>
    <row r="415" spans="1:16" ht="12.3">
      <c r="A415" s="293"/>
      <c r="E415" s="293"/>
      <c r="L415" s="482"/>
      <c r="P415" s="293"/>
    </row>
    <row r="416" spans="1:16" ht="12.3">
      <c r="A416" s="293"/>
      <c r="E416" s="293"/>
      <c r="L416" s="482"/>
      <c r="P416" s="293"/>
    </row>
    <row r="417" spans="1:16" ht="12.3">
      <c r="A417" s="293"/>
      <c r="E417" s="293"/>
      <c r="L417" s="482"/>
      <c r="P417" s="293"/>
    </row>
    <row r="418" spans="1:16" ht="12.3">
      <c r="A418" s="293"/>
      <c r="E418" s="293"/>
      <c r="L418" s="482"/>
      <c r="P418" s="293"/>
    </row>
    <row r="419" spans="1:16" ht="12.3">
      <c r="A419" s="293"/>
      <c r="E419" s="293"/>
      <c r="L419" s="482"/>
      <c r="P419" s="293"/>
    </row>
    <row r="420" spans="1:16" ht="12.3">
      <c r="A420" s="293"/>
      <c r="E420" s="293"/>
      <c r="L420" s="482"/>
      <c r="P420" s="293"/>
    </row>
    <row r="421" spans="1:16" ht="12.3">
      <c r="A421" s="293"/>
      <c r="E421" s="293"/>
      <c r="L421" s="482"/>
      <c r="P421" s="293"/>
    </row>
    <row r="422" spans="1:16" ht="12.3">
      <c r="A422" s="293"/>
      <c r="E422" s="293"/>
      <c r="L422" s="482"/>
      <c r="P422" s="293"/>
    </row>
    <row r="423" spans="1:16" ht="12.3">
      <c r="A423" s="293"/>
      <c r="E423" s="293"/>
      <c r="L423" s="482"/>
      <c r="P423" s="293"/>
    </row>
    <row r="424" spans="1:16" ht="12.3">
      <c r="A424" s="293"/>
      <c r="E424" s="293"/>
      <c r="L424" s="482"/>
      <c r="P424" s="293"/>
    </row>
    <row r="425" spans="1:16" ht="12.3">
      <c r="A425" s="293"/>
      <c r="E425" s="293"/>
      <c r="L425" s="482"/>
      <c r="P425" s="293"/>
    </row>
    <row r="426" spans="1:16" ht="12.3">
      <c r="A426" s="293"/>
      <c r="E426" s="293"/>
      <c r="L426" s="482"/>
      <c r="P426" s="293"/>
    </row>
    <row r="427" spans="1:16" ht="12.3">
      <c r="A427" s="293"/>
      <c r="E427" s="293"/>
      <c r="L427" s="482"/>
      <c r="P427" s="293"/>
    </row>
    <row r="428" spans="1:16" ht="12.3">
      <c r="A428" s="293"/>
      <c r="E428" s="293"/>
      <c r="L428" s="482"/>
      <c r="P428" s="293"/>
    </row>
    <row r="429" spans="1:16" ht="12.3">
      <c r="A429" s="293"/>
      <c r="E429" s="293"/>
      <c r="L429" s="482"/>
      <c r="P429" s="293"/>
    </row>
    <row r="430" spans="1:16" ht="12.3">
      <c r="A430" s="293"/>
      <c r="E430" s="293"/>
      <c r="L430" s="482"/>
      <c r="P430" s="293"/>
    </row>
    <row r="431" spans="1:16" ht="12.3">
      <c r="A431" s="293"/>
      <c r="E431" s="293"/>
      <c r="L431" s="482"/>
      <c r="P431" s="293"/>
    </row>
    <row r="432" spans="1:16" ht="12.3">
      <c r="A432" s="293"/>
      <c r="E432" s="293"/>
      <c r="L432" s="482"/>
      <c r="P432" s="293"/>
    </row>
    <row r="433" spans="1:16" ht="12.3">
      <c r="A433" s="293"/>
      <c r="E433" s="293"/>
      <c r="L433" s="482"/>
      <c r="P433" s="293"/>
    </row>
    <row r="434" spans="1:16" ht="12.3">
      <c r="A434" s="293"/>
      <c r="E434" s="293"/>
      <c r="L434" s="482"/>
      <c r="P434" s="293"/>
    </row>
    <row r="435" spans="1:16" ht="12.3">
      <c r="A435" s="293"/>
      <c r="E435" s="293"/>
      <c r="L435" s="482"/>
      <c r="P435" s="293"/>
    </row>
    <row r="436" spans="1:16" ht="12.3">
      <c r="A436" s="293"/>
      <c r="E436" s="293"/>
      <c r="L436" s="482"/>
      <c r="P436" s="293"/>
    </row>
    <row r="437" spans="1:16" ht="12.3">
      <c r="A437" s="293"/>
      <c r="E437" s="293"/>
      <c r="L437" s="482"/>
      <c r="P437" s="293"/>
    </row>
    <row r="438" spans="1:16" ht="12.3">
      <c r="A438" s="293"/>
      <c r="E438" s="293"/>
      <c r="L438" s="482"/>
      <c r="P438" s="293"/>
    </row>
    <row r="439" spans="1:16" ht="12.3">
      <c r="A439" s="293"/>
      <c r="E439" s="293"/>
      <c r="L439" s="482"/>
      <c r="P439" s="293"/>
    </row>
    <row r="440" spans="1:16" ht="12.3">
      <c r="A440" s="293"/>
      <c r="E440" s="293"/>
      <c r="L440" s="482"/>
      <c r="P440" s="293"/>
    </row>
    <row r="441" spans="1:16" ht="12.3">
      <c r="A441" s="293"/>
      <c r="E441" s="293"/>
      <c r="L441" s="482"/>
      <c r="P441" s="293"/>
    </row>
    <row r="442" spans="1:16" ht="12.3">
      <c r="A442" s="293"/>
      <c r="E442" s="293"/>
      <c r="L442" s="482"/>
      <c r="P442" s="293"/>
    </row>
    <row r="443" spans="1:16" ht="12.3">
      <c r="A443" s="293"/>
      <c r="E443" s="293"/>
      <c r="L443" s="482"/>
      <c r="P443" s="293"/>
    </row>
    <row r="444" spans="1:16" ht="12.3">
      <c r="A444" s="293"/>
      <c r="E444" s="293"/>
      <c r="L444" s="482"/>
      <c r="P444" s="293"/>
    </row>
    <row r="445" spans="1:16" ht="12.3">
      <c r="A445" s="293"/>
      <c r="E445" s="293"/>
      <c r="L445" s="482"/>
      <c r="P445" s="293"/>
    </row>
    <row r="446" spans="1:16" ht="12.3">
      <c r="A446" s="293"/>
      <c r="E446" s="293"/>
      <c r="L446" s="482"/>
      <c r="P446" s="293"/>
    </row>
    <row r="447" spans="1:16" ht="12.3">
      <c r="A447" s="293"/>
      <c r="E447" s="293"/>
      <c r="L447" s="482"/>
      <c r="P447" s="293"/>
    </row>
    <row r="448" spans="1:16" ht="12.3">
      <c r="A448" s="293"/>
      <c r="E448" s="293"/>
      <c r="L448" s="482"/>
      <c r="P448" s="293"/>
    </row>
    <row r="449" spans="1:16" ht="12.3">
      <c r="A449" s="293"/>
      <c r="E449" s="293"/>
      <c r="L449" s="482"/>
      <c r="P449" s="293"/>
    </row>
    <row r="450" spans="1:16" ht="12.3">
      <c r="A450" s="293"/>
      <c r="E450" s="293"/>
      <c r="L450" s="482"/>
      <c r="P450" s="293"/>
    </row>
    <row r="451" spans="1:16" ht="12.3">
      <c r="A451" s="293"/>
      <c r="E451" s="293"/>
      <c r="L451" s="482"/>
      <c r="P451" s="293"/>
    </row>
    <row r="452" spans="1:16" ht="12.3">
      <c r="A452" s="293"/>
      <c r="E452" s="293"/>
      <c r="L452" s="482"/>
      <c r="P452" s="293"/>
    </row>
    <row r="453" spans="1:16" ht="12.3">
      <c r="A453" s="293"/>
      <c r="E453" s="293"/>
      <c r="L453" s="482"/>
      <c r="P453" s="293"/>
    </row>
    <row r="454" spans="1:16" ht="12.3">
      <c r="A454" s="293"/>
      <c r="E454" s="293"/>
      <c r="L454" s="482"/>
      <c r="P454" s="293"/>
    </row>
    <row r="455" spans="1:16" ht="12.3">
      <c r="A455" s="293"/>
      <c r="E455" s="293"/>
      <c r="L455" s="482"/>
      <c r="P455" s="293"/>
    </row>
    <row r="456" spans="1:16" ht="12.3">
      <c r="A456" s="293"/>
      <c r="E456" s="293"/>
      <c r="L456" s="482"/>
      <c r="P456" s="293"/>
    </row>
    <row r="457" spans="1:16" ht="12.3">
      <c r="A457" s="293"/>
      <c r="E457" s="293"/>
      <c r="L457" s="482"/>
      <c r="P457" s="293"/>
    </row>
    <row r="458" spans="1:16" ht="12.3">
      <c r="A458" s="293"/>
      <c r="E458" s="293"/>
      <c r="L458" s="482"/>
      <c r="P458" s="293"/>
    </row>
    <row r="459" spans="1:16" ht="12.3">
      <c r="A459" s="293"/>
      <c r="E459" s="293"/>
      <c r="L459" s="482"/>
      <c r="P459" s="293"/>
    </row>
    <row r="460" spans="1:16" ht="12.3">
      <c r="A460" s="293"/>
      <c r="E460" s="293"/>
      <c r="L460" s="482"/>
      <c r="P460" s="293"/>
    </row>
    <row r="461" spans="1:16" ht="12.3">
      <c r="A461" s="293"/>
      <c r="E461" s="293"/>
      <c r="L461" s="482"/>
      <c r="P461" s="293"/>
    </row>
    <row r="462" spans="1:16" ht="12.3">
      <c r="A462" s="293"/>
      <c r="E462" s="293"/>
      <c r="L462" s="482"/>
      <c r="P462" s="293"/>
    </row>
    <row r="463" spans="1:16" ht="12.3">
      <c r="A463" s="293"/>
      <c r="E463" s="293"/>
      <c r="L463" s="482"/>
      <c r="P463" s="293"/>
    </row>
    <row r="464" spans="1:16" ht="12.3">
      <c r="A464" s="293"/>
      <c r="E464" s="293"/>
      <c r="L464" s="482"/>
      <c r="P464" s="293"/>
    </row>
    <row r="465" spans="1:16" ht="12.3">
      <c r="A465" s="293"/>
      <c r="E465" s="293"/>
      <c r="L465" s="482"/>
      <c r="P465" s="293"/>
    </row>
    <row r="466" spans="1:16" ht="12.3">
      <c r="A466" s="293"/>
      <c r="E466" s="293"/>
      <c r="L466" s="482"/>
      <c r="P466" s="293"/>
    </row>
    <row r="467" spans="1:16" ht="12.3">
      <c r="A467" s="293"/>
      <c r="E467" s="293"/>
      <c r="L467" s="482"/>
      <c r="P467" s="293"/>
    </row>
    <row r="468" spans="1:16" ht="12.3">
      <c r="A468" s="293"/>
      <c r="E468" s="293"/>
      <c r="L468" s="482"/>
      <c r="P468" s="293"/>
    </row>
    <row r="469" spans="1:16" ht="12.3">
      <c r="A469" s="293"/>
      <c r="E469" s="293"/>
      <c r="L469" s="482"/>
      <c r="P469" s="293"/>
    </row>
    <row r="470" spans="1:16" ht="12.3">
      <c r="A470" s="293"/>
      <c r="E470" s="293"/>
      <c r="L470" s="482"/>
      <c r="P470" s="293"/>
    </row>
    <row r="471" spans="1:16" ht="12.3">
      <c r="A471" s="293"/>
      <c r="E471" s="293"/>
      <c r="L471" s="482"/>
      <c r="P471" s="293"/>
    </row>
    <row r="472" spans="1:16" ht="12.3">
      <c r="A472" s="293"/>
      <c r="E472" s="293"/>
      <c r="L472" s="482"/>
      <c r="P472" s="293"/>
    </row>
    <row r="473" spans="1:16" ht="12.3">
      <c r="A473" s="293"/>
      <c r="E473" s="293"/>
      <c r="L473" s="482"/>
      <c r="P473" s="293"/>
    </row>
    <row r="474" spans="1:16" ht="12.3">
      <c r="A474" s="293"/>
      <c r="E474" s="293"/>
      <c r="L474" s="482"/>
      <c r="P474" s="293"/>
    </row>
    <row r="475" spans="1:16" ht="12.3">
      <c r="A475" s="293"/>
      <c r="E475" s="293"/>
      <c r="L475" s="482"/>
      <c r="P475" s="293"/>
    </row>
    <row r="476" spans="1:16" ht="12.3">
      <c r="A476" s="293"/>
      <c r="E476" s="293"/>
      <c r="L476" s="482"/>
      <c r="P476" s="293"/>
    </row>
    <row r="477" spans="1:16" ht="12.3">
      <c r="A477" s="293"/>
      <c r="E477" s="293"/>
      <c r="L477" s="482"/>
      <c r="P477" s="293"/>
    </row>
    <row r="478" spans="1:16" ht="12.3">
      <c r="A478" s="293"/>
      <c r="E478" s="293"/>
      <c r="L478" s="482"/>
      <c r="P478" s="293"/>
    </row>
    <row r="479" spans="1:16" ht="12.3">
      <c r="A479" s="293"/>
      <c r="E479" s="293"/>
      <c r="L479" s="482"/>
      <c r="P479" s="293"/>
    </row>
    <row r="480" spans="1:16" ht="12.3">
      <c r="A480" s="293"/>
      <c r="E480" s="293"/>
      <c r="L480" s="482"/>
      <c r="P480" s="293"/>
    </row>
    <row r="481" spans="1:16" ht="12.3">
      <c r="A481" s="293"/>
      <c r="E481" s="293"/>
      <c r="L481" s="482"/>
      <c r="P481" s="293"/>
    </row>
    <row r="482" spans="1:16" ht="12.3">
      <c r="A482" s="293"/>
      <c r="E482" s="293"/>
      <c r="L482" s="482"/>
      <c r="P482" s="293"/>
    </row>
    <row r="483" spans="1:16" ht="12.3">
      <c r="A483" s="293"/>
      <c r="E483" s="293"/>
      <c r="L483" s="482"/>
      <c r="P483" s="293"/>
    </row>
    <row r="484" spans="1:16" ht="12.3">
      <c r="A484" s="293"/>
      <c r="E484" s="293"/>
      <c r="L484" s="482"/>
      <c r="P484" s="293"/>
    </row>
    <row r="485" spans="1:16" ht="12.3">
      <c r="A485" s="293"/>
      <c r="E485" s="293"/>
      <c r="L485" s="482"/>
      <c r="P485" s="293"/>
    </row>
    <row r="486" spans="1:16" ht="12.3">
      <c r="A486" s="293"/>
      <c r="E486" s="293"/>
      <c r="L486" s="482"/>
      <c r="P486" s="293"/>
    </row>
    <row r="487" spans="1:16" ht="12.3">
      <c r="A487" s="293"/>
      <c r="E487" s="293"/>
      <c r="L487" s="482"/>
      <c r="P487" s="293"/>
    </row>
    <row r="488" spans="1:16" ht="12.3">
      <c r="A488" s="293"/>
      <c r="E488" s="293"/>
      <c r="L488" s="482"/>
      <c r="P488" s="293"/>
    </row>
    <row r="489" spans="1:16" ht="12.3">
      <c r="A489" s="293"/>
      <c r="E489" s="293"/>
      <c r="L489" s="482"/>
      <c r="P489" s="293"/>
    </row>
    <row r="490" spans="1:16" ht="12.3">
      <c r="A490" s="293"/>
      <c r="E490" s="293"/>
      <c r="L490" s="482"/>
      <c r="P490" s="293"/>
    </row>
    <row r="491" spans="1:16" ht="12.3">
      <c r="A491" s="293"/>
      <c r="E491" s="293"/>
      <c r="L491" s="482"/>
      <c r="P491" s="293"/>
    </row>
    <row r="492" spans="1:16" ht="12.3">
      <c r="A492" s="293"/>
      <c r="E492" s="293"/>
      <c r="L492" s="482"/>
      <c r="P492" s="293"/>
    </row>
    <row r="493" spans="1:16" ht="12.3">
      <c r="A493" s="293"/>
      <c r="E493" s="293"/>
      <c r="L493" s="482"/>
      <c r="P493" s="293"/>
    </row>
    <row r="494" spans="1:16" ht="12.3">
      <c r="A494" s="293"/>
      <c r="E494" s="293"/>
      <c r="L494" s="482"/>
      <c r="P494" s="293"/>
    </row>
    <row r="495" spans="1:16" ht="12.3">
      <c r="A495" s="293"/>
      <c r="E495" s="293"/>
      <c r="L495" s="482"/>
      <c r="P495" s="293"/>
    </row>
    <row r="496" spans="1:16" ht="12.3">
      <c r="A496" s="293"/>
      <c r="E496" s="293"/>
      <c r="L496" s="482"/>
      <c r="P496" s="293"/>
    </row>
    <row r="497" spans="1:16" ht="12.3">
      <c r="A497" s="293"/>
      <c r="E497" s="293"/>
      <c r="L497" s="482"/>
      <c r="P497" s="293"/>
    </row>
    <row r="498" spans="1:16" ht="12.3">
      <c r="A498" s="293"/>
      <c r="E498" s="293"/>
      <c r="L498" s="482"/>
      <c r="P498" s="293"/>
    </row>
    <row r="499" spans="1:16" ht="12.3">
      <c r="A499" s="293"/>
      <c r="E499" s="293"/>
      <c r="L499" s="482"/>
      <c r="P499" s="293"/>
    </row>
    <row r="500" spans="1:16" ht="12.3">
      <c r="A500" s="293"/>
      <c r="E500" s="293"/>
      <c r="L500" s="482"/>
      <c r="P500" s="293"/>
    </row>
    <row r="501" spans="1:16" ht="12.3">
      <c r="A501" s="293"/>
      <c r="E501" s="293"/>
      <c r="L501" s="482"/>
      <c r="P501" s="293"/>
    </row>
    <row r="502" spans="1:16" ht="12.3">
      <c r="A502" s="293"/>
      <c r="E502" s="293"/>
      <c r="L502" s="482"/>
      <c r="P502" s="293"/>
    </row>
    <row r="503" spans="1:16" ht="12.3">
      <c r="A503" s="293"/>
      <c r="E503" s="293"/>
      <c r="L503" s="482"/>
      <c r="P503" s="293"/>
    </row>
    <row r="504" spans="1:16" ht="12.3">
      <c r="A504" s="293"/>
      <c r="E504" s="293"/>
      <c r="L504" s="482"/>
      <c r="P504" s="293"/>
    </row>
    <row r="505" spans="1:16" ht="12.3">
      <c r="A505" s="293"/>
      <c r="E505" s="293"/>
      <c r="L505" s="482"/>
      <c r="P505" s="293"/>
    </row>
    <row r="506" spans="1:16" ht="12.3">
      <c r="A506" s="293"/>
      <c r="E506" s="293"/>
      <c r="L506" s="482"/>
      <c r="P506" s="293"/>
    </row>
    <row r="507" spans="1:16" ht="12.3">
      <c r="A507" s="293"/>
      <c r="E507" s="293"/>
      <c r="L507" s="482"/>
      <c r="P507" s="293"/>
    </row>
    <row r="508" spans="1:16" ht="12.3">
      <c r="A508" s="293"/>
      <c r="E508" s="293"/>
      <c r="L508" s="482"/>
      <c r="P508" s="293"/>
    </row>
    <row r="509" spans="1:16" ht="12.3">
      <c r="A509" s="293"/>
      <c r="E509" s="293"/>
      <c r="L509" s="482"/>
      <c r="P509" s="293"/>
    </row>
    <row r="510" spans="1:16" ht="12.3">
      <c r="A510" s="293"/>
      <c r="E510" s="293"/>
      <c r="L510" s="482"/>
      <c r="P510" s="293"/>
    </row>
    <row r="511" spans="1:16" ht="12.3">
      <c r="A511" s="293"/>
      <c r="E511" s="293"/>
      <c r="L511" s="482"/>
      <c r="P511" s="293"/>
    </row>
    <row r="512" spans="1:16" ht="12.3">
      <c r="A512" s="293"/>
      <c r="E512" s="293"/>
      <c r="L512" s="482"/>
      <c r="P512" s="293"/>
    </row>
    <row r="513" spans="1:16" ht="12.3">
      <c r="A513" s="293"/>
      <c r="E513" s="293"/>
      <c r="L513" s="482"/>
      <c r="P513" s="293"/>
    </row>
    <row r="514" spans="1:16" ht="12.3">
      <c r="A514" s="293"/>
      <c r="E514" s="293"/>
      <c r="L514" s="482"/>
      <c r="P514" s="293"/>
    </row>
    <row r="515" spans="1:16" ht="12.3">
      <c r="A515" s="293"/>
      <c r="E515" s="293"/>
      <c r="L515" s="482"/>
      <c r="P515" s="293"/>
    </row>
    <row r="516" spans="1:16" ht="12.3">
      <c r="A516" s="293"/>
      <c r="E516" s="293"/>
      <c r="L516" s="482"/>
      <c r="P516" s="293"/>
    </row>
    <row r="517" spans="1:16" ht="12.3">
      <c r="A517" s="293"/>
      <c r="E517" s="293"/>
      <c r="L517" s="482"/>
      <c r="P517" s="293"/>
    </row>
    <row r="518" spans="1:16" ht="12.3">
      <c r="A518" s="293"/>
      <c r="E518" s="293"/>
      <c r="L518" s="482"/>
      <c r="P518" s="293"/>
    </row>
    <row r="519" spans="1:16" ht="12.3">
      <c r="A519" s="293"/>
      <c r="E519" s="293"/>
      <c r="L519" s="482"/>
      <c r="P519" s="293"/>
    </row>
    <row r="520" spans="1:16" ht="12.3">
      <c r="A520" s="293"/>
      <c r="E520" s="293"/>
      <c r="L520" s="482"/>
      <c r="P520" s="293"/>
    </row>
    <row r="521" spans="1:16" ht="12.3">
      <c r="A521" s="293"/>
      <c r="E521" s="293"/>
      <c r="L521" s="482"/>
      <c r="P521" s="293"/>
    </row>
    <row r="522" spans="1:16" ht="12.3">
      <c r="A522" s="293"/>
      <c r="E522" s="293"/>
      <c r="L522" s="482"/>
      <c r="P522" s="293"/>
    </row>
    <row r="523" spans="1:16" ht="12.3">
      <c r="A523" s="293"/>
      <c r="E523" s="293"/>
      <c r="L523" s="482"/>
      <c r="P523" s="293"/>
    </row>
    <row r="524" spans="1:16" ht="12.3">
      <c r="A524" s="293"/>
      <c r="E524" s="293"/>
      <c r="L524" s="482"/>
      <c r="P524" s="293"/>
    </row>
    <row r="525" spans="1:16" ht="12.3">
      <c r="A525" s="293"/>
      <c r="E525" s="293"/>
      <c r="L525" s="482"/>
      <c r="P525" s="293"/>
    </row>
    <row r="526" spans="1:16" ht="12.3">
      <c r="A526" s="293"/>
      <c r="E526" s="293"/>
      <c r="L526" s="482"/>
      <c r="P526" s="293"/>
    </row>
    <row r="527" spans="1:16" ht="12.3">
      <c r="A527" s="293"/>
      <c r="E527" s="293"/>
      <c r="L527" s="482"/>
      <c r="P527" s="293"/>
    </row>
    <row r="528" spans="1:16" ht="12.3">
      <c r="A528" s="293"/>
      <c r="E528" s="293"/>
      <c r="L528" s="482"/>
      <c r="P528" s="293"/>
    </row>
    <row r="529" spans="1:16" ht="12.3">
      <c r="A529" s="293"/>
      <c r="E529" s="293"/>
      <c r="L529" s="482"/>
      <c r="P529" s="293"/>
    </row>
    <row r="530" spans="1:16" ht="12.3">
      <c r="A530" s="293"/>
      <c r="E530" s="293"/>
      <c r="L530" s="482"/>
      <c r="P530" s="293"/>
    </row>
    <row r="531" spans="1:16" ht="12.3">
      <c r="A531" s="293"/>
      <c r="E531" s="293"/>
      <c r="L531" s="482"/>
      <c r="P531" s="293"/>
    </row>
    <row r="532" spans="1:16" ht="12.3">
      <c r="A532" s="293"/>
      <c r="E532" s="293"/>
      <c r="L532" s="482"/>
      <c r="P532" s="293"/>
    </row>
    <row r="533" spans="1:16" ht="12.3">
      <c r="A533" s="293"/>
      <c r="E533" s="293"/>
      <c r="L533" s="482"/>
      <c r="P533" s="293"/>
    </row>
    <row r="534" spans="1:16" ht="12.3">
      <c r="A534" s="293"/>
      <c r="E534" s="293"/>
      <c r="L534" s="482"/>
      <c r="P534" s="293"/>
    </row>
    <row r="535" spans="1:16" ht="12.3">
      <c r="A535" s="293"/>
      <c r="E535" s="293"/>
      <c r="L535" s="482"/>
      <c r="P535" s="293"/>
    </row>
    <row r="536" spans="1:16" ht="12.3">
      <c r="A536" s="293"/>
      <c r="E536" s="293"/>
      <c r="L536" s="482"/>
      <c r="P536" s="293"/>
    </row>
    <row r="537" spans="1:16" ht="12.3">
      <c r="A537" s="293"/>
      <c r="E537" s="293"/>
      <c r="L537" s="482"/>
      <c r="P537" s="293"/>
    </row>
    <row r="538" spans="1:16" ht="12.3">
      <c r="A538" s="293"/>
      <c r="E538" s="293"/>
      <c r="L538" s="482"/>
      <c r="P538" s="293"/>
    </row>
    <row r="539" spans="1:16" ht="12.3">
      <c r="A539" s="293"/>
      <c r="E539" s="293"/>
      <c r="L539" s="482"/>
      <c r="P539" s="293"/>
    </row>
    <row r="540" spans="1:16" ht="12.3">
      <c r="A540" s="293"/>
      <c r="E540" s="293"/>
      <c r="L540" s="482"/>
      <c r="P540" s="293"/>
    </row>
    <row r="541" spans="1:16" ht="12.3">
      <c r="A541" s="293"/>
      <c r="E541" s="293"/>
      <c r="L541" s="482"/>
      <c r="P541" s="293"/>
    </row>
    <row r="542" spans="1:16" ht="12.3">
      <c r="A542" s="293"/>
      <c r="E542" s="293"/>
      <c r="L542" s="482"/>
      <c r="P542" s="293"/>
    </row>
    <row r="543" spans="1:16" ht="12.3">
      <c r="A543" s="293"/>
      <c r="E543" s="293"/>
      <c r="L543" s="482"/>
      <c r="P543" s="293"/>
    </row>
    <row r="544" spans="1:16" ht="12.3">
      <c r="A544" s="293"/>
      <c r="E544" s="293"/>
      <c r="L544" s="482"/>
      <c r="P544" s="293"/>
    </row>
    <row r="545" spans="1:16" ht="12.3">
      <c r="A545" s="293"/>
      <c r="E545" s="293"/>
      <c r="L545" s="482"/>
      <c r="P545" s="293"/>
    </row>
    <row r="546" spans="1:16" ht="12.3">
      <c r="A546" s="293"/>
      <c r="E546" s="293"/>
      <c r="L546" s="482"/>
      <c r="P546" s="293"/>
    </row>
    <row r="547" spans="1:16" ht="12.3">
      <c r="A547" s="293"/>
      <c r="E547" s="293"/>
      <c r="L547" s="482"/>
      <c r="P547" s="293"/>
    </row>
    <row r="548" spans="1:16" ht="12.3">
      <c r="A548" s="293"/>
      <c r="E548" s="293"/>
      <c r="L548" s="482"/>
      <c r="P548" s="293"/>
    </row>
    <row r="549" spans="1:16" ht="12.3">
      <c r="A549" s="293"/>
      <c r="E549" s="293"/>
      <c r="L549" s="482"/>
      <c r="P549" s="293"/>
    </row>
    <row r="550" spans="1:16" ht="12.3">
      <c r="A550" s="293"/>
      <c r="E550" s="293"/>
      <c r="L550" s="482"/>
      <c r="P550" s="293"/>
    </row>
    <row r="551" spans="1:16" ht="12.3">
      <c r="A551" s="293"/>
      <c r="E551" s="293"/>
      <c r="L551" s="482"/>
      <c r="P551" s="293"/>
    </row>
    <row r="552" spans="1:16" ht="12.3">
      <c r="A552" s="293"/>
      <c r="E552" s="293"/>
      <c r="L552" s="482"/>
      <c r="P552" s="293"/>
    </row>
    <row r="553" spans="1:16" ht="12.3">
      <c r="A553" s="293"/>
      <c r="E553" s="293"/>
      <c r="L553" s="482"/>
      <c r="P553" s="293"/>
    </row>
    <row r="554" spans="1:16" ht="12.3">
      <c r="A554" s="293"/>
      <c r="E554" s="293"/>
      <c r="L554" s="482"/>
      <c r="P554" s="293"/>
    </row>
    <row r="555" spans="1:16" ht="12.3">
      <c r="A555" s="293"/>
      <c r="E555" s="293"/>
      <c r="L555" s="482"/>
      <c r="P555" s="293"/>
    </row>
    <row r="556" spans="1:16" ht="12.3">
      <c r="A556" s="293"/>
      <c r="E556" s="293"/>
      <c r="L556" s="482"/>
      <c r="P556" s="293"/>
    </row>
    <row r="557" spans="1:16" ht="12.3">
      <c r="A557" s="293"/>
      <c r="E557" s="293"/>
      <c r="L557" s="482"/>
      <c r="P557" s="293"/>
    </row>
    <row r="558" spans="1:16" ht="12.3">
      <c r="A558" s="293"/>
      <c r="E558" s="293"/>
      <c r="L558" s="482"/>
      <c r="P558" s="293"/>
    </row>
    <row r="559" spans="1:16" ht="12.3">
      <c r="A559" s="293"/>
      <c r="E559" s="293"/>
      <c r="L559" s="482"/>
      <c r="P559" s="293"/>
    </row>
    <row r="560" spans="1:16" ht="12.3">
      <c r="A560" s="293"/>
      <c r="E560" s="293"/>
      <c r="L560" s="482"/>
      <c r="P560" s="293"/>
    </row>
    <row r="561" spans="1:16" ht="12.3">
      <c r="A561" s="293"/>
      <c r="E561" s="293"/>
      <c r="L561" s="482"/>
      <c r="P561" s="293"/>
    </row>
    <row r="562" spans="1:16" ht="12.3">
      <c r="A562" s="293"/>
      <c r="E562" s="293"/>
      <c r="L562" s="482"/>
      <c r="P562" s="293"/>
    </row>
    <row r="563" spans="1:16" ht="12.3">
      <c r="A563" s="293"/>
      <c r="E563" s="293"/>
      <c r="L563" s="482"/>
      <c r="P563" s="293"/>
    </row>
    <row r="564" spans="1:16" ht="12.3">
      <c r="A564" s="293"/>
      <c r="E564" s="293"/>
      <c r="L564" s="482"/>
      <c r="P564" s="293"/>
    </row>
    <row r="565" spans="1:16" ht="12.3">
      <c r="A565" s="293"/>
      <c r="E565" s="293"/>
      <c r="L565" s="482"/>
      <c r="P565" s="293"/>
    </row>
    <row r="566" spans="1:16" ht="12.3">
      <c r="A566" s="293"/>
      <c r="E566" s="293"/>
      <c r="L566" s="482"/>
      <c r="P566" s="293"/>
    </row>
    <row r="567" spans="1:16" ht="12.3">
      <c r="A567" s="293"/>
      <c r="E567" s="293"/>
      <c r="L567" s="482"/>
      <c r="P567" s="293"/>
    </row>
    <row r="568" spans="1:16" ht="12.3">
      <c r="A568" s="293"/>
      <c r="E568" s="293"/>
      <c r="L568" s="482"/>
      <c r="P568" s="293"/>
    </row>
    <row r="569" spans="1:16" ht="12.3">
      <c r="A569" s="293"/>
      <c r="E569" s="293"/>
      <c r="L569" s="482"/>
      <c r="P569" s="293"/>
    </row>
    <row r="570" spans="1:16" ht="12.3">
      <c r="A570" s="293"/>
      <c r="E570" s="293"/>
      <c r="L570" s="482"/>
      <c r="P570" s="293"/>
    </row>
    <row r="571" spans="1:16" ht="12.3">
      <c r="A571" s="293"/>
      <c r="E571" s="293"/>
      <c r="L571" s="482"/>
      <c r="P571" s="293"/>
    </row>
    <row r="572" spans="1:16" ht="12.3">
      <c r="A572" s="293"/>
      <c r="E572" s="293"/>
      <c r="L572" s="482"/>
      <c r="P572" s="293"/>
    </row>
    <row r="573" spans="1:16" ht="12.3">
      <c r="A573" s="293"/>
      <c r="E573" s="293"/>
      <c r="L573" s="482"/>
      <c r="P573" s="293"/>
    </row>
    <row r="574" spans="1:16" ht="12.3">
      <c r="A574" s="293"/>
      <c r="E574" s="293"/>
      <c r="L574" s="482"/>
      <c r="P574" s="293"/>
    </row>
    <row r="575" spans="1:16" ht="12.3">
      <c r="A575" s="293"/>
      <c r="E575" s="293"/>
      <c r="L575" s="482"/>
      <c r="P575" s="293"/>
    </row>
    <row r="576" spans="1:16" ht="12.3">
      <c r="A576" s="293"/>
      <c r="E576" s="293"/>
      <c r="L576" s="482"/>
      <c r="P576" s="293"/>
    </row>
    <row r="577" spans="1:16" ht="12.3">
      <c r="A577" s="293"/>
      <c r="E577" s="293"/>
      <c r="L577" s="482"/>
      <c r="P577" s="293"/>
    </row>
    <row r="578" spans="1:16" ht="12.3">
      <c r="A578" s="293"/>
      <c r="E578" s="293"/>
      <c r="L578" s="482"/>
      <c r="P578" s="293"/>
    </row>
    <row r="579" spans="1:16" ht="12.3">
      <c r="A579" s="293"/>
      <c r="E579" s="293"/>
      <c r="L579" s="482"/>
      <c r="P579" s="293"/>
    </row>
    <row r="580" spans="1:16" ht="12.3">
      <c r="A580" s="293"/>
      <c r="E580" s="293"/>
      <c r="L580" s="482"/>
      <c r="P580" s="293"/>
    </row>
    <row r="581" spans="1:16" ht="12.3">
      <c r="A581" s="293"/>
      <c r="E581" s="293"/>
      <c r="L581" s="482"/>
      <c r="P581" s="293"/>
    </row>
    <row r="582" spans="1:16" ht="12.3">
      <c r="A582" s="293"/>
      <c r="E582" s="293"/>
      <c r="L582" s="482"/>
      <c r="P582" s="293"/>
    </row>
    <row r="583" spans="1:16" ht="12.3">
      <c r="A583" s="293"/>
      <c r="E583" s="293"/>
      <c r="L583" s="482"/>
      <c r="P583" s="293"/>
    </row>
    <row r="584" spans="1:16" ht="12.3">
      <c r="A584" s="293"/>
      <c r="E584" s="293"/>
      <c r="L584" s="482"/>
      <c r="P584" s="293"/>
    </row>
    <row r="585" spans="1:16" ht="12.3">
      <c r="A585" s="293"/>
      <c r="E585" s="293"/>
      <c r="L585" s="482"/>
      <c r="P585" s="293"/>
    </row>
    <row r="586" spans="1:16" ht="12.3">
      <c r="A586" s="293"/>
      <c r="E586" s="293"/>
      <c r="L586" s="482"/>
      <c r="P586" s="293"/>
    </row>
    <row r="587" spans="1:16" ht="12.3">
      <c r="A587" s="293"/>
      <c r="E587" s="293"/>
      <c r="L587" s="482"/>
      <c r="P587" s="293"/>
    </row>
    <row r="588" spans="1:16" ht="12.3">
      <c r="A588" s="293"/>
      <c r="E588" s="293"/>
      <c r="L588" s="482"/>
      <c r="P588" s="293"/>
    </row>
    <row r="589" spans="1:16" ht="12.3">
      <c r="A589" s="293"/>
      <c r="E589" s="293"/>
      <c r="L589" s="482"/>
      <c r="P589" s="293"/>
    </row>
    <row r="590" spans="1:16" ht="12.3">
      <c r="A590" s="293"/>
      <c r="E590" s="293"/>
      <c r="L590" s="482"/>
      <c r="P590" s="293"/>
    </row>
    <row r="591" spans="1:16" ht="12.3">
      <c r="A591" s="293"/>
      <c r="E591" s="293"/>
      <c r="L591" s="482"/>
      <c r="P591" s="293"/>
    </row>
    <row r="592" spans="1:16" ht="12.3">
      <c r="A592" s="293"/>
      <c r="E592" s="293"/>
      <c r="L592" s="482"/>
      <c r="P592" s="293"/>
    </row>
    <row r="593" spans="1:16" ht="12.3">
      <c r="A593" s="293"/>
      <c r="E593" s="293"/>
      <c r="L593" s="482"/>
      <c r="P593" s="293"/>
    </row>
    <row r="594" spans="1:16" ht="12.3">
      <c r="A594" s="293"/>
      <c r="E594" s="293"/>
      <c r="L594" s="482"/>
      <c r="P594" s="293"/>
    </row>
    <row r="595" spans="1:16" ht="12.3">
      <c r="A595" s="293"/>
      <c r="E595" s="293"/>
      <c r="L595" s="482"/>
      <c r="P595" s="293"/>
    </row>
    <row r="596" spans="1:16" ht="12.3">
      <c r="A596" s="293"/>
      <c r="E596" s="293"/>
      <c r="L596" s="482"/>
      <c r="P596" s="293"/>
    </row>
    <row r="597" spans="1:16" ht="12.3">
      <c r="A597" s="293"/>
      <c r="E597" s="293"/>
      <c r="L597" s="482"/>
      <c r="P597" s="293"/>
    </row>
    <row r="598" spans="1:16" ht="12.3">
      <c r="A598" s="293"/>
      <c r="E598" s="293"/>
      <c r="L598" s="482"/>
      <c r="P598" s="293"/>
    </row>
    <row r="599" spans="1:16" ht="12.3">
      <c r="A599" s="293"/>
      <c r="E599" s="293"/>
      <c r="L599" s="482"/>
      <c r="P599" s="293"/>
    </row>
    <row r="600" spans="1:16" ht="12.3">
      <c r="A600" s="293"/>
      <c r="E600" s="293"/>
      <c r="L600" s="482"/>
      <c r="P600" s="293"/>
    </row>
    <row r="601" spans="1:16" ht="12.3">
      <c r="A601" s="293"/>
      <c r="E601" s="293"/>
      <c r="L601" s="482"/>
      <c r="P601" s="293"/>
    </row>
    <row r="602" spans="1:16" ht="12.3">
      <c r="A602" s="293"/>
      <c r="E602" s="293"/>
      <c r="L602" s="482"/>
      <c r="P602" s="293"/>
    </row>
    <row r="603" spans="1:16" ht="12.3">
      <c r="A603" s="293"/>
      <c r="E603" s="293"/>
      <c r="L603" s="482"/>
      <c r="P603" s="293"/>
    </row>
    <row r="604" spans="1:16" ht="12.3">
      <c r="A604" s="293"/>
      <c r="E604" s="293"/>
      <c r="L604" s="482"/>
      <c r="P604" s="293"/>
    </row>
    <row r="605" spans="1:16" ht="12.3">
      <c r="A605" s="293"/>
      <c r="E605" s="293"/>
      <c r="L605" s="482"/>
      <c r="P605" s="293"/>
    </row>
    <row r="606" spans="1:16" ht="12.3">
      <c r="A606" s="293"/>
      <c r="E606" s="293"/>
      <c r="L606" s="482"/>
      <c r="P606" s="293"/>
    </row>
    <row r="607" spans="1:16" ht="12.3">
      <c r="A607" s="293"/>
      <c r="E607" s="293"/>
      <c r="L607" s="482"/>
      <c r="P607" s="293"/>
    </row>
    <row r="608" spans="1:16" ht="12.3">
      <c r="A608" s="293"/>
      <c r="E608" s="293"/>
      <c r="L608" s="482"/>
      <c r="P608" s="293"/>
    </row>
    <row r="609" spans="1:16" ht="12.3">
      <c r="A609" s="293"/>
      <c r="E609" s="293"/>
      <c r="L609" s="482"/>
      <c r="P609" s="293"/>
    </row>
    <row r="610" spans="1:16" ht="12.3">
      <c r="A610" s="293"/>
      <c r="E610" s="293"/>
      <c r="L610" s="482"/>
      <c r="P610" s="293"/>
    </row>
    <row r="611" spans="1:16" ht="12.3">
      <c r="A611" s="293"/>
      <c r="E611" s="293"/>
      <c r="L611" s="482"/>
      <c r="P611" s="293"/>
    </row>
    <row r="612" spans="1:16" ht="12.3">
      <c r="A612" s="293"/>
      <c r="E612" s="293"/>
      <c r="L612" s="482"/>
      <c r="P612" s="293"/>
    </row>
    <row r="613" spans="1:16" ht="12.3">
      <c r="A613" s="293"/>
      <c r="E613" s="293"/>
      <c r="L613" s="482"/>
      <c r="P613" s="293"/>
    </row>
    <row r="614" spans="1:16" ht="12.3">
      <c r="A614" s="293"/>
      <c r="E614" s="293"/>
      <c r="L614" s="482"/>
      <c r="P614" s="293"/>
    </row>
    <row r="615" spans="1:16" ht="12.3">
      <c r="A615" s="293"/>
      <c r="E615" s="293"/>
      <c r="L615" s="482"/>
      <c r="P615" s="293"/>
    </row>
    <row r="616" spans="1:16" ht="12.3">
      <c r="A616" s="293"/>
      <c r="E616" s="293"/>
      <c r="L616" s="482"/>
      <c r="P616" s="293"/>
    </row>
    <row r="617" spans="1:16" ht="12.3">
      <c r="A617" s="293"/>
      <c r="E617" s="293"/>
      <c r="L617" s="482"/>
      <c r="P617" s="293"/>
    </row>
    <row r="618" spans="1:16" ht="12.3">
      <c r="A618" s="293"/>
      <c r="E618" s="293"/>
      <c r="L618" s="482"/>
      <c r="P618" s="293"/>
    </row>
    <row r="619" spans="1:16" ht="12.3">
      <c r="A619" s="293"/>
      <c r="E619" s="293"/>
      <c r="L619" s="482"/>
      <c r="P619" s="293"/>
    </row>
    <row r="620" spans="1:16" ht="12.3">
      <c r="A620" s="293"/>
      <c r="E620" s="293"/>
      <c r="L620" s="482"/>
      <c r="P620" s="293"/>
    </row>
    <row r="621" spans="1:16" ht="12.3">
      <c r="A621" s="293"/>
      <c r="E621" s="293"/>
      <c r="L621" s="482"/>
      <c r="P621" s="293"/>
    </row>
    <row r="622" spans="1:16" ht="12.3">
      <c r="A622" s="293"/>
      <c r="E622" s="293"/>
      <c r="L622" s="482"/>
      <c r="P622" s="293"/>
    </row>
    <row r="623" spans="1:16" ht="12.3">
      <c r="A623" s="293"/>
      <c r="E623" s="293"/>
      <c r="L623" s="482"/>
      <c r="P623" s="293"/>
    </row>
    <row r="624" spans="1:16" ht="12.3">
      <c r="A624" s="293"/>
      <c r="E624" s="293"/>
      <c r="L624" s="482"/>
      <c r="P624" s="293"/>
    </row>
    <row r="625" spans="1:16" ht="12.3">
      <c r="A625" s="293"/>
      <c r="E625" s="293"/>
      <c r="L625" s="482"/>
      <c r="P625" s="293"/>
    </row>
    <row r="626" spans="1:16" ht="12.3">
      <c r="A626" s="293"/>
      <c r="E626" s="293"/>
      <c r="L626" s="482"/>
      <c r="P626" s="293"/>
    </row>
    <row r="627" spans="1:16" ht="12.3">
      <c r="A627" s="293"/>
      <c r="E627" s="293"/>
      <c r="L627" s="482"/>
      <c r="P627" s="293"/>
    </row>
    <row r="628" spans="1:16" ht="12.3">
      <c r="A628" s="293"/>
      <c r="E628" s="293"/>
      <c r="L628" s="482"/>
      <c r="P628" s="293"/>
    </row>
    <row r="629" spans="1:16" ht="12.3">
      <c r="A629" s="293"/>
      <c r="E629" s="293"/>
      <c r="L629" s="482"/>
      <c r="P629" s="293"/>
    </row>
    <row r="630" spans="1:16" ht="12.3">
      <c r="A630" s="293"/>
      <c r="E630" s="293"/>
      <c r="L630" s="482"/>
      <c r="P630" s="293"/>
    </row>
    <row r="631" spans="1:16" ht="12.3">
      <c r="A631" s="293"/>
      <c r="E631" s="293"/>
      <c r="L631" s="482"/>
      <c r="P631" s="293"/>
    </row>
    <row r="632" spans="1:16" ht="12.3">
      <c r="A632" s="293"/>
      <c r="E632" s="293"/>
      <c r="L632" s="482"/>
      <c r="P632" s="293"/>
    </row>
    <row r="633" spans="1:16" ht="12.3">
      <c r="A633" s="293"/>
      <c r="E633" s="293"/>
      <c r="L633" s="482"/>
      <c r="P633" s="293"/>
    </row>
    <row r="634" spans="1:16" ht="12.3">
      <c r="A634" s="293"/>
      <c r="E634" s="293"/>
      <c r="L634" s="482"/>
      <c r="P634" s="293"/>
    </row>
    <row r="635" spans="1:16" ht="12.3">
      <c r="A635" s="293"/>
      <c r="E635" s="293"/>
      <c r="L635" s="482"/>
      <c r="P635" s="293"/>
    </row>
    <row r="636" spans="1:16" ht="12.3">
      <c r="A636" s="293"/>
      <c r="E636" s="293"/>
      <c r="L636" s="482"/>
      <c r="P636" s="293"/>
    </row>
    <row r="637" spans="1:16" ht="12.3">
      <c r="A637" s="293"/>
      <c r="E637" s="293"/>
      <c r="L637" s="482"/>
      <c r="P637" s="293"/>
    </row>
    <row r="638" spans="1:16" ht="12.3">
      <c r="A638" s="293"/>
      <c r="E638" s="293"/>
      <c r="L638" s="482"/>
      <c r="P638" s="293"/>
    </row>
    <row r="639" spans="1:16" ht="12.3">
      <c r="A639" s="293"/>
      <c r="E639" s="293"/>
      <c r="L639" s="482"/>
      <c r="P639" s="293"/>
    </row>
    <row r="640" spans="1:16" ht="12.3">
      <c r="A640" s="293"/>
      <c r="E640" s="293"/>
      <c r="L640" s="482"/>
      <c r="P640" s="293"/>
    </row>
    <row r="641" spans="1:16" ht="12.3">
      <c r="A641" s="293"/>
      <c r="E641" s="293"/>
      <c r="L641" s="482"/>
      <c r="P641" s="293"/>
    </row>
    <row r="642" spans="1:16" ht="12.3">
      <c r="A642" s="293"/>
      <c r="E642" s="293"/>
      <c r="L642" s="482"/>
      <c r="P642" s="293"/>
    </row>
    <row r="643" spans="1:16" ht="12.3">
      <c r="A643" s="293"/>
      <c r="E643" s="293"/>
      <c r="L643" s="482"/>
      <c r="P643" s="293"/>
    </row>
    <row r="644" spans="1:16" ht="12.3">
      <c r="A644" s="293"/>
      <c r="E644" s="293"/>
      <c r="L644" s="482"/>
      <c r="P644" s="293"/>
    </row>
    <row r="645" spans="1:16" ht="12.3">
      <c r="A645" s="293"/>
      <c r="E645" s="293"/>
      <c r="L645" s="482"/>
      <c r="P645" s="293"/>
    </row>
    <row r="646" spans="1:16" ht="12.3">
      <c r="A646" s="293"/>
      <c r="E646" s="293"/>
      <c r="L646" s="482"/>
      <c r="P646" s="293"/>
    </row>
    <row r="647" spans="1:16" ht="12.3">
      <c r="A647" s="293"/>
      <c r="E647" s="293"/>
      <c r="L647" s="482"/>
      <c r="P647" s="293"/>
    </row>
    <row r="648" spans="1:16" ht="12.3">
      <c r="A648" s="293"/>
      <c r="E648" s="293"/>
      <c r="L648" s="482"/>
      <c r="P648" s="293"/>
    </row>
    <row r="649" spans="1:16" ht="12.3">
      <c r="A649" s="293"/>
      <c r="E649" s="293"/>
      <c r="L649" s="482"/>
      <c r="P649" s="293"/>
    </row>
    <row r="650" spans="1:16" ht="12.3">
      <c r="A650" s="293"/>
      <c r="E650" s="293"/>
      <c r="L650" s="482"/>
      <c r="P650" s="293"/>
    </row>
    <row r="651" spans="1:16" ht="12.3">
      <c r="A651" s="293"/>
      <c r="E651" s="293"/>
      <c r="L651" s="482"/>
      <c r="P651" s="293"/>
    </row>
    <row r="652" spans="1:16" ht="12.3">
      <c r="A652" s="293"/>
      <c r="E652" s="293"/>
      <c r="L652" s="482"/>
      <c r="P652" s="293"/>
    </row>
    <row r="653" spans="1:16" ht="12.3">
      <c r="A653" s="293"/>
      <c r="E653" s="293"/>
      <c r="L653" s="482"/>
      <c r="P653" s="293"/>
    </row>
    <row r="654" spans="1:16" ht="12.3">
      <c r="A654" s="293"/>
      <c r="E654" s="293"/>
      <c r="L654" s="482"/>
      <c r="P654" s="293"/>
    </row>
    <row r="655" spans="1:16" ht="12.3">
      <c r="A655" s="293"/>
      <c r="E655" s="293"/>
      <c r="L655" s="482"/>
      <c r="P655" s="293"/>
    </row>
    <row r="656" spans="1:16" ht="12.3">
      <c r="A656" s="293"/>
      <c r="E656" s="293"/>
      <c r="L656" s="482"/>
      <c r="P656" s="293"/>
    </row>
    <row r="657" spans="1:16" ht="12.3">
      <c r="A657" s="293"/>
      <c r="E657" s="293"/>
      <c r="L657" s="482"/>
      <c r="P657" s="293"/>
    </row>
    <row r="658" spans="1:16" ht="12.3">
      <c r="A658" s="293"/>
      <c r="E658" s="293"/>
      <c r="L658" s="482"/>
      <c r="P658" s="293"/>
    </row>
    <row r="659" spans="1:16" ht="12.3">
      <c r="A659" s="293"/>
      <c r="E659" s="293"/>
      <c r="L659" s="482"/>
      <c r="P659" s="293"/>
    </row>
    <row r="660" spans="1:16" ht="12.3">
      <c r="A660" s="293"/>
      <c r="E660" s="293"/>
      <c r="L660" s="482"/>
      <c r="P660" s="293"/>
    </row>
    <row r="661" spans="1:16" ht="12.3">
      <c r="A661" s="293"/>
      <c r="E661" s="293"/>
      <c r="L661" s="482"/>
      <c r="P661" s="293"/>
    </row>
    <row r="662" spans="1:16" ht="12.3">
      <c r="A662" s="293"/>
      <c r="E662" s="293"/>
      <c r="L662" s="482"/>
      <c r="P662" s="293"/>
    </row>
    <row r="663" spans="1:16" ht="12.3">
      <c r="A663" s="293"/>
      <c r="E663" s="293"/>
      <c r="L663" s="482"/>
      <c r="P663" s="293"/>
    </row>
    <row r="664" spans="1:16" ht="12.3">
      <c r="A664" s="293"/>
      <c r="E664" s="293"/>
      <c r="L664" s="482"/>
      <c r="P664" s="293"/>
    </row>
    <row r="665" spans="1:16" ht="12.3">
      <c r="A665" s="293"/>
      <c r="E665" s="293"/>
      <c r="L665" s="482"/>
      <c r="P665" s="293"/>
    </row>
    <row r="666" spans="1:16" ht="12.3">
      <c r="A666" s="293"/>
      <c r="E666" s="293"/>
      <c r="L666" s="482"/>
      <c r="P666" s="293"/>
    </row>
    <row r="667" spans="1:16" ht="12.3">
      <c r="A667" s="293"/>
      <c r="E667" s="293"/>
      <c r="L667" s="482"/>
      <c r="P667" s="293"/>
    </row>
    <row r="668" spans="1:16" ht="12.3">
      <c r="A668" s="293"/>
      <c r="E668" s="293"/>
      <c r="L668" s="482"/>
      <c r="P668" s="293"/>
    </row>
    <row r="669" spans="1:16" ht="12.3">
      <c r="A669" s="293"/>
      <c r="E669" s="293"/>
      <c r="L669" s="482"/>
      <c r="P669" s="293"/>
    </row>
    <row r="670" spans="1:16" ht="12.3">
      <c r="A670" s="293"/>
      <c r="E670" s="293"/>
      <c r="L670" s="482"/>
      <c r="P670" s="293"/>
    </row>
    <row r="671" spans="1:16" ht="12.3">
      <c r="A671" s="293"/>
      <c r="E671" s="293"/>
      <c r="L671" s="482"/>
      <c r="P671" s="293"/>
    </row>
    <row r="672" spans="1:16" ht="12.3">
      <c r="A672" s="293"/>
      <c r="E672" s="293"/>
      <c r="L672" s="482"/>
      <c r="P672" s="293"/>
    </row>
    <row r="673" spans="1:16" ht="12.3">
      <c r="A673" s="293"/>
      <c r="E673" s="293"/>
      <c r="L673" s="482"/>
      <c r="P673" s="293"/>
    </row>
    <row r="674" spans="1:16" ht="12.3">
      <c r="A674" s="293"/>
      <c r="E674" s="293"/>
      <c r="L674" s="482"/>
      <c r="P674" s="293"/>
    </row>
    <row r="675" spans="1:16" ht="12.3">
      <c r="A675" s="293"/>
      <c r="E675" s="293"/>
      <c r="L675" s="482"/>
      <c r="P675" s="293"/>
    </row>
    <row r="676" spans="1:16" ht="12.3">
      <c r="A676" s="293"/>
      <c r="E676" s="293"/>
      <c r="L676" s="482"/>
      <c r="P676" s="293"/>
    </row>
    <row r="677" spans="1:16" ht="12.3">
      <c r="A677" s="293"/>
      <c r="E677" s="293"/>
      <c r="L677" s="482"/>
      <c r="P677" s="293"/>
    </row>
    <row r="678" spans="1:16" ht="12.3">
      <c r="A678" s="293"/>
      <c r="E678" s="293"/>
      <c r="L678" s="482"/>
      <c r="P678" s="293"/>
    </row>
    <row r="679" spans="1:16" ht="12.3">
      <c r="A679" s="293"/>
      <c r="E679" s="293"/>
      <c r="L679" s="482"/>
      <c r="P679" s="293"/>
    </row>
    <row r="680" spans="1:16" ht="12.3">
      <c r="A680" s="293"/>
      <c r="E680" s="293"/>
      <c r="L680" s="482"/>
      <c r="P680" s="293"/>
    </row>
    <row r="681" spans="1:16" ht="12.3">
      <c r="A681" s="293"/>
      <c r="E681" s="293"/>
      <c r="L681" s="482"/>
      <c r="P681" s="293"/>
    </row>
    <row r="682" spans="1:16" ht="12.3">
      <c r="A682" s="293"/>
      <c r="E682" s="293"/>
      <c r="L682" s="482"/>
      <c r="P682" s="293"/>
    </row>
    <row r="683" spans="1:16" ht="12.3">
      <c r="A683" s="293"/>
      <c r="E683" s="293"/>
      <c r="L683" s="482"/>
      <c r="P683" s="293"/>
    </row>
    <row r="684" spans="1:16" ht="12.3">
      <c r="A684" s="293"/>
      <c r="E684" s="293"/>
      <c r="L684" s="482"/>
      <c r="P684" s="293"/>
    </row>
    <row r="685" spans="1:16" ht="12.3">
      <c r="A685" s="293"/>
      <c r="E685" s="293"/>
      <c r="L685" s="482"/>
      <c r="P685" s="293"/>
    </row>
    <row r="686" spans="1:16" ht="12.3">
      <c r="A686" s="293"/>
      <c r="E686" s="293"/>
      <c r="L686" s="482"/>
      <c r="P686" s="293"/>
    </row>
    <row r="687" spans="1:16" ht="12.3">
      <c r="A687" s="293"/>
      <c r="E687" s="293"/>
      <c r="L687" s="482"/>
      <c r="P687" s="293"/>
    </row>
    <row r="688" spans="1:16" ht="12.3">
      <c r="A688" s="293"/>
      <c r="E688" s="293"/>
      <c r="L688" s="482"/>
      <c r="P688" s="293"/>
    </row>
    <row r="689" spans="1:16" ht="12.3">
      <c r="A689" s="293"/>
      <c r="E689" s="293"/>
      <c r="L689" s="482"/>
      <c r="P689" s="293"/>
    </row>
    <row r="690" spans="1:16" ht="12.3">
      <c r="A690" s="293"/>
      <c r="E690" s="293"/>
      <c r="L690" s="482"/>
      <c r="P690" s="293"/>
    </row>
    <row r="691" spans="1:16" ht="12.3">
      <c r="A691" s="293"/>
      <c r="E691" s="293"/>
      <c r="L691" s="482"/>
      <c r="P691" s="293"/>
    </row>
    <row r="692" spans="1:16" ht="12.3">
      <c r="A692" s="293"/>
      <c r="E692" s="293"/>
      <c r="L692" s="482"/>
      <c r="P692" s="293"/>
    </row>
    <row r="693" spans="1:16" ht="12.3">
      <c r="A693" s="293"/>
      <c r="E693" s="293"/>
      <c r="L693" s="482"/>
      <c r="P693" s="293"/>
    </row>
    <row r="694" spans="1:16" ht="12.3">
      <c r="A694" s="293"/>
      <c r="E694" s="293"/>
      <c r="L694" s="482"/>
      <c r="P694" s="293"/>
    </row>
    <row r="695" spans="1:16" ht="12.3">
      <c r="A695" s="293"/>
      <c r="E695" s="293"/>
      <c r="L695" s="482"/>
      <c r="P695" s="293"/>
    </row>
    <row r="696" spans="1:16" ht="12.3">
      <c r="A696" s="293"/>
      <c r="E696" s="293"/>
      <c r="L696" s="482"/>
      <c r="P696" s="293"/>
    </row>
    <row r="697" spans="1:16" ht="12.3">
      <c r="A697" s="293"/>
      <c r="E697" s="293"/>
      <c r="L697" s="482"/>
      <c r="P697" s="293"/>
    </row>
    <row r="698" spans="1:16" ht="12.3">
      <c r="A698" s="293"/>
      <c r="E698" s="293"/>
      <c r="L698" s="482"/>
      <c r="P698" s="293"/>
    </row>
    <row r="699" spans="1:16" ht="12.3">
      <c r="A699" s="293"/>
      <c r="E699" s="293"/>
      <c r="L699" s="482"/>
      <c r="P699" s="293"/>
    </row>
    <row r="700" spans="1:16" ht="12.3">
      <c r="A700" s="293"/>
      <c r="E700" s="293"/>
      <c r="L700" s="482"/>
      <c r="P700" s="293"/>
    </row>
    <row r="701" spans="1:16" ht="12.3">
      <c r="A701" s="293"/>
      <c r="E701" s="293"/>
      <c r="L701" s="482"/>
      <c r="P701" s="293"/>
    </row>
    <row r="702" spans="1:16" ht="12.3">
      <c r="A702" s="293"/>
      <c r="E702" s="293"/>
      <c r="L702" s="482"/>
      <c r="P702" s="293"/>
    </row>
    <row r="703" spans="1:16" ht="12.3">
      <c r="A703" s="293"/>
      <c r="E703" s="293"/>
      <c r="L703" s="482"/>
      <c r="P703" s="293"/>
    </row>
    <row r="704" spans="1:16" ht="12.3">
      <c r="A704" s="293"/>
      <c r="E704" s="293"/>
      <c r="L704" s="482"/>
      <c r="P704" s="293"/>
    </row>
    <row r="705" spans="1:16" ht="12.3">
      <c r="A705" s="293"/>
      <c r="E705" s="293"/>
      <c r="L705" s="482"/>
      <c r="P705" s="293"/>
    </row>
    <row r="706" spans="1:16" ht="12.3">
      <c r="A706" s="293"/>
      <c r="E706" s="293"/>
      <c r="L706" s="482"/>
      <c r="P706" s="293"/>
    </row>
    <row r="707" spans="1:16" ht="12.3">
      <c r="A707" s="293"/>
      <c r="E707" s="293"/>
      <c r="L707" s="482"/>
      <c r="P707" s="293"/>
    </row>
    <row r="708" spans="1:16" ht="12.3">
      <c r="A708" s="293"/>
      <c r="E708" s="293"/>
      <c r="L708" s="482"/>
      <c r="P708" s="293"/>
    </row>
    <row r="709" spans="1:16" ht="12.3">
      <c r="A709" s="293"/>
      <c r="E709" s="293"/>
      <c r="L709" s="482"/>
      <c r="P709" s="293"/>
    </row>
    <row r="710" spans="1:16" ht="12.3">
      <c r="A710" s="293"/>
      <c r="E710" s="293"/>
      <c r="L710" s="482"/>
      <c r="P710" s="293"/>
    </row>
    <row r="711" spans="1:16" ht="12.3">
      <c r="A711" s="293"/>
      <c r="E711" s="293"/>
      <c r="L711" s="482"/>
      <c r="P711" s="293"/>
    </row>
    <row r="712" spans="1:16" ht="12.3">
      <c r="A712" s="293"/>
      <c r="E712" s="293"/>
      <c r="L712" s="482"/>
      <c r="P712" s="293"/>
    </row>
    <row r="713" spans="1:16" ht="12.3">
      <c r="A713" s="293"/>
      <c r="E713" s="293"/>
      <c r="L713" s="482"/>
      <c r="P713" s="293"/>
    </row>
    <row r="714" spans="1:16" ht="12.3">
      <c r="A714" s="293"/>
      <c r="E714" s="293"/>
      <c r="L714" s="482"/>
      <c r="P714" s="293"/>
    </row>
    <row r="715" spans="1:16" ht="12.3">
      <c r="A715" s="293"/>
      <c r="E715" s="293"/>
      <c r="L715" s="482"/>
      <c r="P715" s="293"/>
    </row>
    <row r="716" spans="1:16" ht="12.3">
      <c r="A716" s="293"/>
      <c r="E716" s="293"/>
      <c r="L716" s="482"/>
      <c r="P716" s="293"/>
    </row>
    <row r="717" spans="1:16" ht="12.3">
      <c r="A717" s="293"/>
      <c r="E717" s="293"/>
      <c r="L717" s="482"/>
      <c r="P717" s="293"/>
    </row>
    <row r="718" spans="1:16" ht="12.3">
      <c r="A718" s="293"/>
      <c r="E718" s="293"/>
      <c r="L718" s="482"/>
      <c r="P718" s="293"/>
    </row>
    <row r="719" spans="1:16" ht="12.3">
      <c r="A719" s="293"/>
      <c r="E719" s="293"/>
      <c r="L719" s="482"/>
      <c r="P719" s="293"/>
    </row>
    <row r="720" spans="1:16" ht="12.3">
      <c r="A720" s="293"/>
      <c r="E720" s="293"/>
      <c r="L720" s="482"/>
      <c r="P720" s="293"/>
    </row>
    <row r="721" spans="1:16" ht="12.3">
      <c r="A721" s="293"/>
      <c r="E721" s="293"/>
      <c r="L721" s="482"/>
      <c r="P721" s="293"/>
    </row>
    <row r="722" spans="1:16" ht="12.3">
      <c r="A722" s="293"/>
      <c r="E722" s="293"/>
      <c r="L722" s="482"/>
      <c r="P722" s="293"/>
    </row>
    <row r="723" spans="1:16" ht="12.3">
      <c r="A723" s="293"/>
      <c r="E723" s="293"/>
      <c r="L723" s="482"/>
      <c r="P723" s="293"/>
    </row>
    <row r="724" spans="1:16" ht="12.3">
      <c r="A724" s="293"/>
      <c r="E724" s="293"/>
      <c r="L724" s="482"/>
      <c r="P724" s="293"/>
    </row>
    <row r="725" spans="1:16" ht="12.3">
      <c r="A725" s="293"/>
      <c r="E725" s="293"/>
      <c r="L725" s="482"/>
      <c r="P725" s="293"/>
    </row>
    <row r="726" spans="1:16" ht="12.3">
      <c r="A726" s="293"/>
      <c r="E726" s="293"/>
      <c r="L726" s="482"/>
      <c r="P726" s="293"/>
    </row>
    <row r="727" spans="1:16" ht="12.3">
      <c r="A727" s="293"/>
      <c r="E727" s="293"/>
      <c r="L727" s="482"/>
      <c r="P727" s="293"/>
    </row>
    <row r="728" spans="1:16" ht="12.3">
      <c r="A728" s="293"/>
      <c r="E728" s="293"/>
      <c r="L728" s="482"/>
      <c r="P728" s="293"/>
    </row>
    <row r="729" spans="1:16" ht="12.3">
      <c r="A729" s="293"/>
      <c r="E729" s="293"/>
      <c r="L729" s="482"/>
      <c r="P729" s="293"/>
    </row>
    <row r="730" spans="1:16" ht="12.3">
      <c r="A730" s="293"/>
      <c r="E730" s="293"/>
      <c r="L730" s="482"/>
      <c r="P730" s="293"/>
    </row>
    <row r="731" spans="1:16" ht="12.3">
      <c r="A731" s="293"/>
      <c r="E731" s="293"/>
      <c r="L731" s="482"/>
      <c r="P731" s="293"/>
    </row>
    <row r="732" spans="1:16" ht="12.3">
      <c r="A732" s="293"/>
      <c r="E732" s="293"/>
      <c r="L732" s="482"/>
      <c r="P732" s="293"/>
    </row>
    <row r="733" spans="1:16" ht="12.3">
      <c r="A733" s="293"/>
      <c r="E733" s="293"/>
      <c r="L733" s="482"/>
      <c r="P733" s="293"/>
    </row>
    <row r="734" spans="1:16" ht="12.3">
      <c r="A734" s="293"/>
      <c r="E734" s="293"/>
      <c r="L734" s="482"/>
      <c r="P734" s="293"/>
    </row>
    <row r="735" spans="1:16" ht="12.3">
      <c r="A735" s="293"/>
      <c r="E735" s="293"/>
      <c r="L735" s="482"/>
      <c r="P735" s="293"/>
    </row>
    <row r="736" spans="1:16" ht="12.3">
      <c r="A736" s="293"/>
      <c r="E736" s="293"/>
      <c r="L736" s="482"/>
      <c r="P736" s="293"/>
    </row>
    <row r="737" spans="1:16" ht="12.3">
      <c r="A737" s="293"/>
      <c r="E737" s="293"/>
      <c r="L737" s="482"/>
      <c r="P737" s="293"/>
    </row>
    <row r="738" spans="1:16" ht="12.3">
      <c r="A738" s="293"/>
      <c r="E738" s="293"/>
      <c r="L738" s="482"/>
      <c r="P738" s="293"/>
    </row>
    <row r="739" spans="1:16" ht="12.3">
      <c r="A739" s="293"/>
      <c r="E739" s="293"/>
      <c r="L739" s="482"/>
      <c r="P739" s="293"/>
    </row>
    <row r="740" spans="1:16" ht="12.3">
      <c r="A740" s="293"/>
      <c r="E740" s="293"/>
      <c r="L740" s="482"/>
      <c r="P740" s="293"/>
    </row>
    <row r="741" spans="1:16" ht="12.3">
      <c r="A741" s="293"/>
      <c r="E741" s="293"/>
      <c r="L741" s="482"/>
      <c r="P741" s="293"/>
    </row>
    <row r="742" spans="1:16" ht="12.3">
      <c r="A742" s="293"/>
      <c r="E742" s="293"/>
      <c r="L742" s="482"/>
      <c r="P742" s="293"/>
    </row>
    <row r="743" spans="1:16" ht="12.3">
      <c r="A743" s="293"/>
      <c r="E743" s="293"/>
      <c r="L743" s="482"/>
      <c r="P743" s="293"/>
    </row>
    <row r="744" spans="1:16" ht="12.3">
      <c r="A744" s="293"/>
      <c r="E744" s="293"/>
      <c r="L744" s="482"/>
      <c r="P744" s="293"/>
    </row>
    <row r="745" spans="1:16" ht="12.3">
      <c r="A745" s="293"/>
      <c r="E745" s="293"/>
      <c r="L745" s="482"/>
      <c r="P745" s="293"/>
    </row>
    <row r="746" spans="1:16" ht="12.3">
      <c r="A746" s="293"/>
      <c r="E746" s="293"/>
      <c r="L746" s="482"/>
      <c r="P746" s="293"/>
    </row>
    <row r="747" spans="1:16" ht="12.3">
      <c r="A747" s="293"/>
      <c r="E747" s="293"/>
      <c r="L747" s="482"/>
      <c r="P747" s="293"/>
    </row>
    <row r="748" spans="1:16" ht="12.3">
      <c r="A748" s="293"/>
      <c r="E748" s="293"/>
      <c r="L748" s="482"/>
      <c r="P748" s="293"/>
    </row>
    <row r="749" spans="1:16" ht="12.3">
      <c r="A749" s="293"/>
      <c r="E749" s="293"/>
      <c r="L749" s="482"/>
      <c r="P749" s="293"/>
    </row>
    <row r="750" spans="1:16" ht="12.3">
      <c r="A750" s="293"/>
      <c r="E750" s="293"/>
      <c r="L750" s="482"/>
      <c r="P750" s="293"/>
    </row>
    <row r="751" spans="1:16" ht="12.3">
      <c r="A751" s="293"/>
      <c r="E751" s="293"/>
      <c r="L751" s="482"/>
      <c r="P751" s="293"/>
    </row>
    <row r="752" spans="1:16" ht="12.3">
      <c r="A752" s="293"/>
      <c r="E752" s="293"/>
      <c r="L752" s="482"/>
      <c r="P752" s="293"/>
    </row>
    <row r="753" spans="1:16" ht="12.3">
      <c r="A753" s="293"/>
      <c r="E753" s="293"/>
      <c r="L753" s="482"/>
      <c r="P753" s="293"/>
    </row>
    <row r="754" spans="1:16" ht="12.3">
      <c r="A754" s="293"/>
      <c r="E754" s="293"/>
      <c r="L754" s="482"/>
      <c r="P754" s="293"/>
    </row>
    <row r="755" spans="1:16" ht="12.3">
      <c r="A755" s="293"/>
      <c r="E755" s="293"/>
      <c r="L755" s="482"/>
      <c r="P755" s="293"/>
    </row>
    <row r="756" spans="1:16" ht="12.3">
      <c r="A756" s="293"/>
      <c r="E756" s="293"/>
      <c r="L756" s="482"/>
      <c r="P756" s="293"/>
    </row>
    <row r="757" spans="1:16" ht="12.3">
      <c r="A757" s="293"/>
      <c r="E757" s="293"/>
      <c r="L757" s="482"/>
      <c r="P757" s="293"/>
    </row>
    <row r="758" spans="1:16" ht="12.3">
      <c r="A758" s="293"/>
      <c r="E758" s="293"/>
      <c r="L758" s="482"/>
      <c r="P758" s="293"/>
    </row>
    <row r="759" spans="1:16" ht="12.3">
      <c r="A759" s="293"/>
      <c r="E759" s="293"/>
      <c r="L759" s="482"/>
      <c r="P759" s="293"/>
    </row>
    <row r="760" spans="1:16" ht="12.3">
      <c r="A760" s="293"/>
      <c r="E760" s="293"/>
      <c r="L760" s="482"/>
      <c r="P760" s="293"/>
    </row>
    <row r="761" spans="1:16" ht="12.3">
      <c r="A761" s="293"/>
      <c r="E761" s="293"/>
      <c r="L761" s="482"/>
      <c r="P761" s="293"/>
    </row>
    <row r="762" spans="1:16" ht="12.3">
      <c r="A762" s="293"/>
      <c r="E762" s="293"/>
      <c r="L762" s="482"/>
      <c r="P762" s="293"/>
    </row>
    <row r="763" spans="1:16" ht="12.3">
      <c r="A763" s="293"/>
      <c r="E763" s="293"/>
      <c r="L763" s="482"/>
      <c r="P763" s="293"/>
    </row>
    <row r="764" spans="1:16" ht="12.3">
      <c r="A764" s="293"/>
      <c r="E764" s="293"/>
      <c r="L764" s="482"/>
      <c r="P764" s="293"/>
    </row>
    <row r="765" spans="1:16" ht="12.3">
      <c r="A765" s="293"/>
      <c r="E765" s="293"/>
      <c r="L765" s="482"/>
      <c r="P765" s="293"/>
    </row>
    <row r="766" spans="1:16" ht="12.3">
      <c r="A766" s="293"/>
      <c r="E766" s="293"/>
      <c r="L766" s="482"/>
      <c r="P766" s="293"/>
    </row>
    <row r="767" spans="1:16" ht="12.3">
      <c r="A767" s="293"/>
      <c r="E767" s="293"/>
      <c r="L767" s="482"/>
      <c r="P767" s="293"/>
    </row>
    <row r="768" spans="1:16" ht="12.3">
      <c r="A768" s="293"/>
      <c r="E768" s="293"/>
      <c r="L768" s="482"/>
      <c r="P768" s="293"/>
    </row>
    <row r="769" spans="1:16" ht="12.3">
      <c r="A769" s="293"/>
      <c r="E769" s="293"/>
      <c r="L769" s="482"/>
      <c r="P769" s="293"/>
    </row>
    <row r="770" spans="1:16" ht="12.3">
      <c r="A770" s="293"/>
      <c r="E770" s="293"/>
      <c r="L770" s="482"/>
      <c r="P770" s="293"/>
    </row>
    <row r="771" spans="1:16" ht="12.3">
      <c r="A771" s="293"/>
      <c r="E771" s="293"/>
      <c r="L771" s="482"/>
      <c r="P771" s="293"/>
    </row>
    <row r="772" spans="1:16" ht="12.3">
      <c r="A772" s="293"/>
      <c r="E772" s="293"/>
      <c r="L772" s="482"/>
      <c r="P772" s="293"/>
    </row>
    <row r="773" spans="1:16" ht="12.3">
      <c r="A773" s="293"/>
      <c r="E773" s="293"/>
      <c r="L773" s="482"/>
      <c r="P773" s="293"/>
    </row>
    <row r="774" spans="1:16" ht="12.3">
      <c r="A774" s="293"/>
      <c r="E774" s="293"/>
      <c r="L774" s="482"/>
      <c r="P774" s="293"/>
    </row>
    <row r="775" spans="1:16" ht="12.3">
      <c r="A775" s="293"/>
      <c r="E775" s="293"/>
      <c r="L775" s="482"/>
      <c r="P775" s="293"/>
    </row>
    <row r="776" spans="1:16" ht="12.3">
      <c r="A776" s="293"/>
      <c r="E776" s="293"/>
      <c r="L776" s="482"/>
      <c r="P776" s="293"/>
    </row>
    <row r="777" spans="1:16" ht="12.3">
      <c r="A777" s="293"/>
      <c r="E777" s="293"/>
      <c r="L777" s="482"/>
      <c r="P777" s="293"/>
    </row>
    <row r="778" spans="1:16" ht="12.3">
      <c r="A778" s="293"/>
      <c r="E778" s="293"/>
      <c r="L778" s="482"/>
      <c r="P778" s="293"/>
    </row>
    <row r="779" spans="1:16" ht="12.3">
      <c r="A779" s="293"/>
      <c r="E779" s="293"/>
      <c r="L779" s="482"/>
      <c r="P779" s="293"/>
    </row>
    <row r="780" spans="1:16" ht="12.3">
      <c r="A780" s="293"/>
      <c r="E780" s="293"/>
      <c r="L780" s="482"/>
      <c r="P780" s="293"/>
    </row>
    <row r="781" spans="1:16" ht="12.3">
      <c r="A781" s="293"/>
      <c r="E781" s="293"/>
      <c r="L781" s="482"/>
      <c r="P781" s="293"/>
    </row>
    <row r="782" spans="1:16" ht="12.3">
      <c r="A782" s="293"/>
      <c r="E782" s="293"/>
      <c r="L782" s="482"/>
      <c r="P782" s="293"/>
    </row>
    <row r="783" spans="1:16" ht="12.3">
      <c r="A783" s="293"/>
      <c r="E783" s="293"/>
      <c r="L783" s="482"/>
      <c r="P783" s="293"/>
    </row>
    <row r="784" spans="1:16" ht="12.3">
      <c r="A784" s="293"/>
      <c r="E784" s="293"/>
      <c r="L784" s="482"/>
      <c r="P784" s="293"/>
    </row>
    <row r="785" spans="1:16" ht="12.3">
      <c r="A785" s="293"/>
      <c r="E785" s="293"/>
      <c r="L785" s="482"/>
      <c r="P785" s="293"/>
    </row>
    <row r="786" spans="1:16" ht="12.3">
      <c r="A786" s="293"/>
      <c r="E786" s="293"/>
      <c r="L786" s="482"/>
      <c r="P786" s="293"/>
    </row>
    <row r="787" spans="1:16" ht="12.3">
      <c r="A787" s="293"/>
      <c r="E787" s="293"/>
      <c r="L787" s="482"/>
      <c r="P787" s="293"/>
    </row>
    <row r="788" spans="1:16" ht="12.3">
      <c r="A788" s="293"/>
      <c r="E788" s="293"/>
      <c r="L788" s="482"/>
      <c r="P788" s="293"/>
    </row>
    <row r="789" spans="1:16" ht="12.3">
      <c r="A789" s="293"/>
      <c r="E789" s="293"/>
      <c r="L789" s="482"/>
      <c r="P789" s="293"/>
    </row>
    <row r="790" spans="1:16" ht="12.3">
      <c r="A790" s="293"/>
      <c r="E790" s="293"/>
      <c r="L790" s="482"/>
      <c r="P790" s="293"/>
    </row>
    <row r="791" spans="1:16" ht="12.3">
      <c r="A791" s="293"/>
      <c r="E791" s="293"/>
      <c r="L791" s="482"/>
      <c r="P791" s="293"/>
    </row>
    <row r="792" spans="1:16" ht="12.3">
      <c r="A792" s="293"/>
      <c r="E792" s="293"/>
      <c r="L792" s="482"/>
      <c r="P792" s="293"/>
    </row>
    <row r="793" spans="1:16" ht="12.3">
      <c r="A793" s="293"/>
      <c r="E793" s="293"/>
      <c r="L793" s="482"/>
      <c r="P793" s="293"/>
    </row>
    <row r="794" spans="1:16" ht="12.3">
      <c r="A794" s="293"/>
      <c r="E794" s="293"/>
      <c r="L794" s="482"/>
      <c r="P794" s="293"/>
    </row>
    <row r="795" spans="1:16" ht="12.3">
      <c r="A795" s="293"/>
      <c r="E795" s="293"/>
      <c r="L795" s="482"/>
      <c r="P795" s="293"/>
    </row>
    <row r="796" spans="1:16" ht="12.3">
      <c r="A796" s="293"/>
      <c r="E796" s="293"/>
      <c r="L796" s="482"/>
      <c r="P796" s="293"/>
    </row>
    <row r="797" spans="1:16" ht="12.3">
      <c r="A797" s="293"/>
      <c r="E797" s="293"/>
      <c r="L797" s="482"/>
      <c r="P797" s="293"/>
    </row>
    <row r="798" spans="1:16" ht="12.3">
      <c r="A798" s="293"/>
      <c r="E798" s="293"/>
      <c r="L798" s="482"/>
      <c r="P798" s="293"/>
    </row>
    <row r="799" spans="1:16" ht="12.3">
      <c r="A799" s="293"/>
      <c r="E799" s="293"/>
      <c r="L799" s="482"/>
      <c r="P799" s="293"/>
    </row>
    <row r="800" spans="1:16" ht="12.3">
      <c r="A800" s="293"/>
      <c r="E800" s="293"/>
      <c r="L800" s="482"/>
      <c r="P800" s="293"/>
    </row>
    <row r="801" spans="1:16" ht="12.3">
      <c r="A801" s="293"/>
      <c r="E801" s="293"/>
      <c r="L801" s="482"/>
      <c r="P801" s="293"/>
    </row>
    <row r="802" spans="1:16" ht="12.3">
      <c r="A802" s="293"/>
      <c r="E802" s="293"/>
      <c r="L802" s="482"/>
      <c r="P802" s="293"/>
    </row>
    <row r="803" spans="1:16" ht="12.3">
      <c r="A803" s="293"/>
      <c r="E803" s="293"/>
      <c r="L803" s="482"/>
      <c r="P803" s="293"/>
    </row>
    <row r="804" spans="1:16" ht="12.3">
      <c r="A804" s="293"/>
      <c r="E804" s="293"/>
      <c r="L804" s="482"/>
      <c r="P804" s="293"/>
    </row>
    <row r="805" spans="1:16" ht="12.3">
      <c r="A805" s="293"/>
      <c r="E805" s="293"/>
      <c r="L805" s="482"/>
      <c r="P805" s="293"/>
    </row>
    <row r="806" spans="1:16" ht="12.3">
      <c r="A806" s="293"/>
      <c r="E806" s="293"/>
      <c r="L806" s="482"/>
      <c r="P806" s="293"/>
    </row>
    <row r="807" spans="1:16" ht="12.3">
      <c r="A807" s="293"/>
      <c r="E807" s="293"/>
      <c r="L807" s="482"/>
      <c r="P807" s="293"/>
    </row>
    <row r="808" spans="1:16" ht="12.3">
      <c r="A808" s="293"/>
      <c r="E808" s="293"/>
      <c r="L808" s="482"/>
      <c r="P808" s="293"/>
    </row>
    <row r="809" spans="1:16" ht="12.3">
      <c r="A809" s="293"/>
      <c r="E809" s="293"/>
      <c r="L809" s="482"/>
      <c r="P809" s="293"/>
    </row>
    <row r="810" spans="1:16" ht="12.3">
      <c r="A810" s="293"/>
      <c r="E810" s="293"/>
      <c r="L810" s="482"/>
      <c r="P810" s="293"/>
    </row>
    <row r="811" spans="1:16" ht="12.3">
      <c r="A811" s="293"/>
      <c r="E811" s="293"/>
      <c r="L811" s="482"/>
      <c r="P811" s="293"/>
    </row>
    <row r="812" spans="1:16" ht="12.3">
      <c r="A812" s="293"/>
      <c r="E812" s="293"/>
      <c r="L812" s="482"/>
      <c r="P812" s="293"/>
    </row>
    <row r="813" spans="1:16" ht="12.3">
      <c r="A813" s="293"/>
      <c r="E813" s="293"/>
      <c r="L813" s="482"/>
      <c r="P813" s="293"/>
    </row>
    <row r="814" spans="1:16" ht="12.3">
      <c r="A814" s="293"/>
      <c r="E814" s="293"/>
      <c r="L814" s="482"/>
      <c r="P814" s="293"/>
    </row>
    <row r="815" spans="1:16" ht="12.3">
      <c r="A815" s="293"/>
      <c r="E815" s="293"/>
      <c r="L815" s="482"/>
      <c r="P815" s="293"/>
    </row>
    <row r="816" spans="1:16" ht="12.3">
      <c r="A816" s="293"/>
      <c r="E816" s="293"/>
      <c r="L816" s="482"/>
      <c r="P816" s="293"/>
    </row>
    <row r="817" spans="1:16" ht="12.3">
      <c r="A817" s="293"/>
      <c r="E817" s="293"/>
      <c r="L817" s="482"/>
      <c r="P817" s="293"/>
    </row>
    <row r="818" spans="1:16" ht="12.3">
      <c r="A818" s="293"/>
      <c r="E818" s="293"/>
      <c r="L818" s="482"/>
      <c r="P818" s="293"/>
    </row>
    <row r="819" spans="1:16" ht="12.3">
      <c r="A819" s="293"/>
      <c r="E819" s="293"/>
      <c r="L819" s="482"/>
      <c r="P819" s="293"/>
    </row>
    <row r="820" spans="1:16" ht="12.3">
      <c r="A820" s="293"/>
      <c r="E820" s="293"/>
      <c r="L820" s="482"/>
      <c r="P820" s="293"/>
    </row>
    <row r="821" spans="1:16" ht="12.3">
      <c r="A821" s="293"/>
      <c r="E821" s="293"/>
      <c r="L821" s="482"/>
      <c r="P821" s="293"/>
    </row>
    <row r="822" spans="1:16" ht="12.3">
      <c r="A822" s="293"/>
      <c r="E822" s="293"/>
      <c r="L822" s="482"/>
      <c r="P822" s="293"/>
    </row>
    <row r="823" spans="1:16" ht="12.3">
      <c r="A823" s="293"/>
      <c r="E823" s="293"/>
      <c r="L823" s="482"/>
      <c r="P823" s="293"/>
    </row>
    <row r="824" spans="1:16" ht="12.3">
      <c r="A824" s="293"/>
      <c r="E824" s="293"/>
      <c r="L824" s="482"/>
      <c r="P824" s="293"/>
    </row>
    <row r="825" spans="1:16" ht="12.3">
      <c r="A825" s="293"/>
      <c r="E825" s="293"/>
      <c r="L825" s="482"/>
      <c r="P825" s="293"/>
    </row>
    <row r="826" spans="1:16" ht="12.3">
      <c r="A826" s="293"/>
      <c r="E826" s="293"/>
      <c r="L826" s="482"/>
      <c r="P826" s="293"/>
    </row>
    <row r="827" spans="1:16" ht="12.3">
      <c r="A827" s="293"/>
      <c r="E827" s="293"/>
      <c r="L827" s="482"/>
      <c r="P827" s="293"/>
    </row>
    <row r="828" spans="1:16" ht="12.3">
      <c r="A828" s="293"/>
      <c r="E828" s="293"/>
      <c r="L828" s="482"/>
      <c r="P828" s="293"/>
    </row>
    <row r="829" spans="1:16" ht="12.3">
      <c r="A829" s="293"/>
      <c r="E829" s="293"/>
      <c r="L829" s="482"/>
      <c r="P829" s="293"/>
    </row>
    <row r="830" spans="1:16" ht="12.3">
      <c r="A830" s="293"/>
      <c r="E830" s="293"/>
      <c r="L830" s="482"/>
      <c r="P830" s="293"/>
    </row>
    <row r="831" spans="1:16" ht="12.3">
      <c r="A831" s="293"/>
      <c r="E831" s="293"/>
      <c r="L831" s="482"/>
      <c r="P831" s="293"/>
    </row>
    <row r="832" spans="1:16" ht="12.3">
      <c r="A832" s="293"/>
      <c r="E832" s="293"/>
      <c r="L832" s="482"/>
      <c r="P832" s="293"/>
    </row>
    <row r="833" spans="1:16" ht="12.3">
      <c r="A833" s="293"/>
      <c r="E833" s="293"/>
      <c r="L833" s="482"/>
      <c r="P833" s="293"/>
    </row>
    <row r="834" spans="1:16" ht="12.3">
      <c r="A834" s="293"/>
      <c r="E834" s="293"/>
      <c r="L834" s="482"/>
      <c r="P834" s="293"/>
    </row>
    <row r="835" spans="1:16" ht="12.3">
      <c r="A835" s="293"/>
      <c r="E835" s="293"/>
      <c r="L835" s="482"/>
      <c r="P835" s="293"/>
    </row>
    <row r="836" spans="1:16" ht="12.3">
      <c r="A836" s="293"/>
      <c r="E836" s="293"/>
      <c r="L836" s="482"/>
      <c r="P836" s="293"/>
    </row>
    <row r="837" spans="1:16" ht="12.3">
      <c r="A837" s="293"/>
      <c r="E837" s="293"/>
      <c r="L837" s="482"/>
      <c r="P837" s="293"/>
    </row>
    <row r="838" spans="1:16" ht="12.3">
      <c r="A838" s="293"/>
      <c r="E838" s="293"/>
      <c r="L838" s="482"/>
      <c r="P838" s="293"/>
    </row>
    <row r="839" spans="1:16" ht="12.3">
      <c r="A839" s="293"/>
      <c r="E839" s="293"/>
      <c r="L839" s="482"/>
      <c r="P839" s="293"/>
    </row>
    <row r="840" spans="1:16" ht="12.3">
      <c r="A840" s="293"/>
      <c r="E840" s="293"/>
      <c r="L840" s="482"/>
      <c r="P840" s="293"/>
    </row>
    <row r="841" spans="1:16" ht="12.3">
      <c r="A841" s="293"/>
      <c r="E841" s="293"/>
      <c r="L841" s="482"/>
      <c r="P841" s="293"/>
    </row>
    <row r="842" spans="1:16" ht="12.3">
      <c r="A842" s="293"/>
      <c r="E842" s="293"/>
      <c r="L842" s="482"/>
      <c r="P842" s="293"/>
    </row>
    <row r="843" spans="1:16" ht="12.3">
      <c r="A843" s="293"/>
      <c r="E843" s="293"/>
      <c r="L843" s="482"/>
      <c r="P843" s="293"/>
    </row>
    <row r="844" spans="1:16" ht="12.3">
      <c r="A844" s="293"/>
      <c r="E844" s="293"/>
      <c r="L844" s="482"/>
      <c r="P844" s="293"/>
    </row>
    <row r="845" spans="1:16" ht="12.3">
      <c r="A845" s="293"/>
      <c r="E845" s="293"/>
      <c r="L845" s="482"/>
      <c r="P845" s="293"/>
    </row>
    <row r="846" spans="1:16" ht="12.3">
      <c r="A846" s="293"/>
      <c r="E846" s="293"/>
      <c r="L846" s="482"/>
      <c r="P846" s="293"/>
    </row>
    <row r="847" spans="1:16" ht="12.3">
      <c r="A847" s="293"/>
      <c r="E847" s="293"/>
      <c r="L847" s="482"/>
      <c r="P847" s="293"/>
    </row>
    <row r="848" spans="1:16" ht="12.3">
      <c r="A848" s="293"/>
      <c r="E848" s="293"/>
      <c r="L848" s="482"/>
      <c r="P848" s="293"/>
    </row>
    <row r="849" spans="1:16" ht="12.3">
      <c r="A849" s="293"/>
      <c r="E849" s="293"/>
      <c r="L849" s="482"/>
      <c r="P849" s="293"/>
    </row>
    <row r="850" spans="1:16" ht="12.3">
      <c r="A850" s="293"/>
      <c r="E850" s="293"/>
      <c r="L850" s="482"/>
      <c r="P850" s="293"/>
    </row>
    <row r="851" spans="1:16" ht="12.3">
      <c r="A851" s="293"/>
      <c r="E851" s="293"/>
      <c r="L851" s="482"/>
      <c r="P851" s="293"/>
    </row>
    <row r="852" spans="1:16" ht="12.3">
      <c r="A852" s="293"/>
      <c r="E852" s="293"/>
      <c r="L852" s="482"/>
      <c r="P852" s="293"/>
    </row>
    <row r="853" spans="1:16" ht="12.3">
      <c r="A853" s="293"/>
      <c r="E853" s="293"/>
      <c r="L853" s="482"/>
      <c r="P853" s="293"/>
    </row>
    <row r="854" spans="1:16" ht="12.3">
      <c r="A854" s="293"/>
      <c r="E854" s="293"/>
      <c r="L854" s="482"/>
      <c r="P854" s="293"/>
    </row>
    <row r="855" spans="1:16" ht="12.3">
      <c r="A855" s="293"/>
      <c r="E855" s="293"/>
      <c r="L855" s="482"/>
      <c r="P855" s="293"/>
    </row>
    <row r="856" spans="1:16" ht="12.3">
      <c r="A856" s="293"/>
      <c r="E856" s="293"/>
      <c r="L856" s="482"/>
      <c r="P856" s="293"/>
    </row>
    <row r="857" spans="1:16" ht="12.3">
      <c r="A857" s="293"/>
      <c r="E857" s="293"/>
      <c r="L857" s="482"/>
      <c r="P857" s="293"/>
    </row>
    <row r="858" spans="1:16" ht="12.3">
      <c r="A858" s="293"/>
      <c r="E858" s="293"/>
      <c r="L858" s="482"/>
      <c r="P858" s="293"/>
    </row>
    <row r="859" spans="1:16" ht="12.3">
      <c r="A859" s="293"/>
      <c r="E859" s="293"/>
      <c r="L859" s="482"/>
      <c r="P859" s="293"/>
    </row>
    <row r="860" spans="1:16" ht="12.3">
      <c r="A860" s="293"/>
      <c r="E860" s="293"/>
      <c r="L860" s="482"/>
      <c r="P860" s="293"/>
    </row>
    <row r="861" spans="1:16" ht="12.3">
      <c r="A861" s="293"/>
      <c r="E861" s="293"/>
      <c r="L861" s="482"/>
      <c r="P861" s="293"/>
    </row>
    <row r="862" spans="1:16" ht="12.3">
      <c r="A862" s="293"/>
      <c r="E862" s="293"/>
      <c r="L862" s="482"/>
      <c r="P862" s="293"/>
    </row>
    <row r="863" spans="1:16" ht="12.3">
      <c r="A863" s="293"/>
      <c r="E863" s="293"/>
      <c r="L863" s="482"/>
      <c r="P863" s="293"/>
    </row>
    <row r="864" spans="1:16" ht="12.3">
      <c r="A864" s="293"/>
      <c r="E864" s="293"/>
      <c r="L864" s="482"/>
      <c r="P864" s="293"/>
    </row>
    <row r="865" spans="1:16" ht="12.3">
      <c r="A865" s="293"/>
      <c r="E865" s="293"/>
      <c r="L865" s="482"/>
      <c r="P865" s="293"/>
    </row>
    <row r="866" spans="1:16" ht="12.3">
      <c r="A866" s="293"/>
      <c r="E866" s="293"/>
      <c r="L866" s="482"/>
      <c r="P866" s="293"/>
    </row>
    <row r="867" spans="1:16" ht="12.3">
      <c r="A867" s="293"/>
      <c r="E867" s="293"/>
      <c r="L867" s="482"/>
      <c r="P867" s="293"/>
    </row>
    <row r="868" spans="1:16" ht="12.3">
      <c r="A868" s="293"/>
      <c r="E868" s="293"/>
      <c r="L868" s="482"/>
      <c r="P868" s="293"/>
    </row>
    <row r="869" spans="1:16" ht="12.3">
      <c r="A869" s="293"/>
      <c r="E869" s="293"/>
      <c r="L869" s="482"/>
      <c r="P869" s="293"/>
    </row>
    <row r="870" spans="1:16" ht="12.3">
      <c r="A870" s="293"/>
      <c r="E870" s="293"/>
      <c r="L870" s="482"/>
      <c r="P870" s="293"/>
    </row>
    <row r="871" spans="1:16" ht="12.3">
      <c r="A871" s="293"/>
      <c r="E871" s="293"/>
      <c r="L871" s="482"/>
      <c r="P871" s="293"/>
    </row>
    <row r="872" spans="1:16" ht="12.3">
      <c r="A872" s="293"/>
      <c r="E872" s="293"/>
      <c r="L872" s="482"/>
      <c r="P872" s="293"/>
    </row>
    <row r="873" spans="1:16" ht="12.3">
      <c r="A873" s="293"/>
      <c r="E873" s="293"/>
      <c r="L873" s="482"/>
      <c r="P873" s="293"/>
    </row>
    <row r="874" spans="1:16" ht="12.3">
      <c r="A874" s="293"/>
      <c r="E874" s="293"/>
      <c r="L874" s="482"/>
      <c r="P874" s="293"/>
    </row>
    <row r="875" spans="1:16" ht="12.3">
      <c r="A875" s="293"/>
      <c r="E875" s="293"/>
      <c r="L875" s="482"/>
      <c r="P875" s="293"/>
    </row>
    <row r="876" spans="1:16" ht="12.3">
      <c r="A876" s="293"/>
      <c r="E876" s="293"/>
      <c r="L876" s="482"/>
      <c r="P876" s="293"/>
    </row>
    <row r="877" spans="1:16" ht="12.3">
      <c r="A877" s="293"/>
      <c r="E877" s="293"/>
      <c r="L877" s="482"/>
      <c r="P877" s="293"/>
    </row>
    <row r="878" spans="1:16" ht="12.3">
      <c r="A878" s="293"/>
      <c r="E878" s="293"/>
      <c r="L878" s="482"/>
      <c r="P878" s="293"/>
    </row>
    <row r="879" spans="1:16" ht="12.3">
      <c r="A879" s="293"/>
      <c r="E879" s="293"/>
      <c r="L879" s="482"/>
      <c r="P879" s="293"/>
    </row>
    <row r="880" spans="1:16" ht="12.3">
      <c r="A880" s="293"/>
      <c r="E880" s="293"/>
      <c r="L880" s="482"/>
      <c r="P880" s="293"/>
    </row>
    <row r="881" spans="1:16" ht="12.3">
      <c r="A881" s="293"/>
      <c r="E881" s="293"/>
      <c r="L881" s="482"/>
      <c r="P881" s="293"/>
    </row>
    <row r="882" spans="1:16" ht="12.3">
      <c r="A882" s="293"/>
      <c r="E882" s="293"/>
      <c r="L882" s="482"/>
      <c r="P882" s="293"/>
    </row>
    <row r="883" spans="1:16" ht="12.3">
      <c r="A883" s="293"/>
      <c r="E883" s="293"/>
      <c r="L883" s="482"/>
      <c r="P883" s="293"/>
    </row>
    <row r="884" spans="1:16" ht="12.3">
      <c r="A884" s="293"/>
      <c r="E884" s="293"/>
      <c r="L884" s="482"/>
      <c r="P884" s="293"/>
    </row>
    <row r="885" spans="1:16" ht="12.3">
      <c r="A885" s="293"/>
      <c r="E885" s="293"/>
      <c r="L885" s="482"/>
      <c r="P885" s="293"/>
    </row>
    <row r="886" spans="1:16" ht="12.3">
      <c r="A886" s="293"/>
      <c r="E886" s="293"/>
      <c r="L886" s="482"/>
      <c r="P886" s="293"/>
    </row>
    <row r="887" spans="1:16" ht="12.3">
      <c r="A887" s="293"/>
      <c r="E887" s="293"/>
      <c r="L887" s="482"/>
      <c r="P887" s="293"/>
    </row>
    <row r="888" spans="1:16" ht="12.3">
      <c r="A888" s="293"/>
      <c r="E888" s="293"/>
      <c r="L888" s="482"/>
      <c r="P888" s="293"/>
    </row>
    <row r="889" spans="1:16" ht="12.3">
      <c r="A889" s="293"/>
      <c r="E889" s="293"/>
      <c r="L889" s="482"/>
      <c r="P889" s="293"/>
    </row>
    <row r="890" spans="1:16" ht="12.3">
      <c r="A890" s="293"/>
      <c r="E890" s="293"/>
      <c r="L890" s="482"/>
      <c r="P890" s="293"/>
    </row>
    <row r="891" spans="1:16" ht="12.3">
      <c r="A891" s="293"/>
      <c r="E891" s="293"/>
      <c r="L891" s="482"/>
      <c r="P891" s="293"/>
    </row>
    <row r="892" spans="1:16" ht="12.3">
      <c r="A892" s="293"/>
      <c r="E892" s="293"/>
      <c r="L892" s="482"/>
      <c r="P892" s="293"/>
    </row>
    <row r="893" spans="1:16" ht="12.3">
      <c r="A893" s="293"/>
      <c r="E893" s="293"/>
      <c r="L893" s="482"/>
      <c r="P893" s="293"/>
    </row>
    <row r="894" spans="1:16" ht="12.3">
      <c r="A894" s="293"/>
      <c r="E894" s="293"/>
      <c r="L894" s="482"/>
      <c r="P894" s="293"/>
    </row>
    <row r="895" spans="1:16" ht="12.3">
      <c r="A895" s="293"/>
      <c r="E895" s="293"/>
      <c r="L895" s="482"/>
      <c r="P895" s="293"/>
    </row>
    <row r="896" spans="1:16" ht="12.3">
      <c r="A896" s="293"/>
      <c r="E896" s="293"/>
      <c r="L896" s="482"/>
      <c r="P896" s="293"/>
    </row>
    <row r="897" spans="1:16" ht="12.3">
      <c r="A897" s="293"/>
      <c r="E897" s="293"/>
      <c r="L897" s="482"/>
      <c r="P897" s="293"/>
    </row>
    <row r="898" spans="1:16" ht="12.3">
      <c r="A898" s="293"/>
      <c r="E898" s="293"/>
      <c r="L898" s="482"/>
      <c r="P898" s="293"/>
    </row>
    <row r="899" spans="1:16" ht="12.3">
      <c r="A899" s="293"/>
      <c r="E899" s="293"/>
      <c r="L899" s="482"/>
      <c r="P899" s="293"/>
    </row>
    <row r="900" spans="1:16" ht="12.3">
      <c r="A900" s="293"/>
      <c r="E900" s="293"/>
      <c r="L900" s="482"/>
      <c r="P900" s="293"/>
    </row>
    <row r="901" spans="1:16" ht="12.3">
      <c r="A901" s="293"/>
      <c r="E901" s="293"/>
      <c r="L901" s="482"/>
      <c r="P901" s="293"/>
    </row>
    <row r="902" spans="1:16" ht="12.3">
      <c r="A902" s="293"/>
      <c r="E902" s="293"/>
      <c r="L902" s="482"/>
      <c r="P902" s="293"/>
    </row>
    <row r="903" spans="1:16" ht="12.3">
      <c r="A903" s="293"/>
      <c r="E903" s="293"/>
      <c r="L903" s="482"/>
      <c r="P903" s="293"/>
    </row>
    <row r="904" spans="1:16" ht="12.3">
      <c r="A904" s="293"/>
      <c r="E904" s="293"/>
      <c r="L904" s="482"/>
      <c r="P904" s="293"/>
    </row>
    <row r="905" spans="1:16" ht="12.3">
      <c r="A905" s="293"/>
      <c r="E905" s="293"/>
      <c r="L905" s="482"/>
      <c r="P905" s="293"/>
    </row>
    <row r="906" spans="1:16" ht="12.3">
      <c r="A906" s="293"/>
      <c r="E906" s="293"/>
      <c r="L906" s="482"/>
      <c r="P906" s="293"/>
    </row>
    <row r="907" spans="1:16" ht="12.3">
      <c r="A907" s="293"/>
      <c r="E907" s="293"/>
      <c r="L907" s="482"/>
      <c r="P907" s="293"/>
    </row>
    <row r="908" spans="1:16" ht="12.3">
      <c r="A908" s="293"/>
      <c r="E908" s="293"/>
      <c r="L908" s="482"/>
      <c r="P908" s="293"/>
    </row>
    <row r="909" spans="1:16" ht="12.3">
      <c r="A909" s="293"/>
      <c r="E909" s="293"/>
      <c r="L909" s="482"/>
      <c r="P909" s="293"/>
    </row>
    <row r="910" spans="1:16" ht="12.3">
      <c r="A910" s="293"/>
      <c r="E910" s="293"/>
      <c r="L910" s="482"/>
      <c r="P910" s="293"/>
    </row>
    <row r="911" spans="1:16" ht="12.3">
      <c r="A911" s="293"/>
      <c r="E911" s="293"/>
      <c r="L911" s="482"/>
      <c r="P911" s="293"/>
    </row>
    <row r="912" spans="1:16" ht="12.3">
      <c r="A912" s="293"/>
      <c r="E912" s="293"/>
      <c r="L912" s="482"/>
      <c r="P912" s="293"/>
    </row>
    <row r="913" spans="1:16" ht="12.3">
      <c r="A913" s="293"/>
      <c r="E913" s="293"/>
      <c r="L913" s="482"/>
      <c r="P913" s="293"/>
    </row>
    <row r="914" spans="1:16" ht="12.3">
      <c r="A914" s="293"/>
      <c r="E914" s="293"/>
      <c r="L914" s="482"/>
      <c r="P914" s="293"/>
    </row>
    <row r="915" spans="1:16" ht="12.3">
      <c r="A915" s="293"/>
      <c r="E915" s="293"/>
      <c r="L915" s="482"/>
      <c r="P915" s="293"/>
    </row>
    <row r="916" spans="1:16" ht="12.3">
      <c r="A916" s="293"/>
      <c r="E916" s="293"/>
      <c r="L916" s="482"/>
      <c r="P916" s="293"/>
    </row>
    <row r="917" spans="1:16" ht="12.3">
      <c r="A917" s="293"/>
      <c r="E917" s="293"/>
      <c r="L917" s="482"/>
      <c r="P917" s="293"/>
    </row>
    <row r="918" spans="1:16" ht="12.3">
      <c r="A918" s="293"/>
      <c r="E918" s="293"/>
      <c r="L918" s="482"/>
      <c r="P918" s="293"/>
    </row>
    <row r="919" spans="1:16" ht="12.3">
      <c r="A919" s="293"/>
      <c r="E919" s="293"/>
      <c r="L919" s="482"/>
      <c r="P919" s="293"/>
    </row>
    <row r="920" spans="1:16" ht="12.3">
      <c r="A920" s="293"/>
      <c r="E920" s="293"/>
      <c r="L920" s="482"/>
      <c r="P920" s="293"/>
    </row>
    <row r="921" spans="1:16" ht="12.3">
      <c r="A921" s="293"/>
      <c r="E921" s="293"/>
      <c r="L921" s="482"/>
      <c r="P921" s="293"/>
    </row>
    <row r="922" spans="1:16" ht="12.3">
      <c r="A922" s="293"/>
      <c r="E922" s="293"/>
      <c r="L922" s="482"/>
      <c r="P922" s="293"/>
    </row>
    <row r="923" spans="1:16" ht="12.3">
      <c r="A923" s="293"/>
      <c r="E923" s="293"/>
      <c r="L923" s="482"/>
      <c r="P923" s="293"/>
    </row>
    <row r="924" spans="1:16" ht="12.3">
      <c r="A924" s="293"/>
      <c r="E924" s="293"/>
      <c r="L924" s="482"/>
      <c r="P924" s="293"/>
    </row>
    <row r="925" spans="1:16" ht="12.3">
      <c r="A925" s="293"/>
      <c r="E925" s="293"/>
      <c r="L925" s="482"/>
      <c r="P925" s="293"/>
    </row>
    <row r="926" spans="1:16" ht="12.3">
      <c r="A926" s="293"/>
      <c r="E926" s="293"/>
      <c r="L926" s="482"/>
      <c r="P926" s="293"/>
    </row>
    <row r="927" spans="1:16" ht="12.3">
      <c r="A927" s="293"/>
      <c r="E927" s="293"/>
      <c r="L927" s="482"/>
      <c r="P927" s="293"/>
    </row>
    <row r="928" spans="1:16" ht="12.3">
      <c r="A928" s="293"/>
      <c r="E928" s="293"/>
      <c r="L928" s="482"/>
      <c r="P928" s="293"/>
    </row>
    <row r="929" spans="1:16" ht="12.3">
      <c r="A929" s="293"/>
      <c r="E929" s="293"/>
      <c r="L929" s="482"/>
      <c r="P929" s="293"/>
    </row>
    <row r="930" spans="1:16" ht="12.3">
      <c r="A930" s="293"/>
      <c r="E930" s="293"/>
      <c r="L930" s="482"/>
      <c r="P930" s="293"/>
    </row>
    <row r="931" spans="1:16" ht="12.3">
      <c r="A931" s="293"/>
      <c r="E931" s="293"/>
      <c r="L931" s="482"/>
      <c r="P931" s="293"/>
    </row>
    <row r="932" spans="1:16" ht="12.3">
      <c r="A932" s="293"/>
      <c r="E932" s="293"/>
      <c r="L932" s="482"/>
      <c r="P932" s="293"/>
    </row>
    <row r="933" spans="1:16" ht="12.3">
      <c r="A933" s="293"/>
      <c r="E933" s="293"/>
      <c r="L933" s="482"/>
      <c r="P933" s="293"/>
    </row>
    <row r="934" spans="1:16" ht="12.3">
      <c r="A934" s="293"/>
      <c r="E934" s="293"/>
      <c r="L934" s="482"/>
      <c r="P934" s="293"/>
    </row>
    <row r="935" spans="1:16" ht="12.3">
      <c r="A935" s="293"/>
      <c r="E935" s="293"/>
      <c r="L935" s="482"/>
      <c r="P935" s="293"/>
    </row>
    <row r="936" spans="1:16" ht="12.3">
      <c r="A936" s="293"/>
      <c r="E936" s="293"/>
      <c r="L936" s="482"/>
      <c r="P936" s="293"/>
    </row>
    <row r="937" spans="1:16" ht="12.3">
      <c r="A937" s="293"/>
      <c r="E937" s="293"/>
      <c r="L937" s="482"/>
      <c r="P937" s="293"/>
    </row>
    <row r="938" spans="1:16" ht="12.3">
      <c r="A938" s="293"/>
      <c r="E938" s="293"/>
      <c r="L938" s="482"/>
      <c r="P938" s="293"/>
    </row>
    <row r="939" spans="1:16" ht="12.3">
      <c r="A939" s="293"/>
      <c r="E939" s="293"/>
      <c r="L939" s="482"/>
      <c r="P939" s="293"/>
    </row>
    <row r="940" spans="1:16" ht="12.3">
      <c r="A940" s="293"/>
      <c r="E940" s="293"/>
      <c r="L940" s="482"/>
      <c r="P940" s="293"/>
    </row>
    <row r="941" spans="1:16" ht="12.3">
      <c r="A941" s="293"/>
      <c r="E941" s="293"/>
      <c r="L941" s="482"/>
      <c r="P941" s="293"/>
    </row>
    <row r="942" spans="1:16" ht="12.3">
      <c r="A942" s="293"/>
      <c r="E942" s="293"/>
      <c r="L942" s="482"/>
      <c r="P942" s="293"/>
    </row>
    <row r="943" spans="1:16" ht="12.3">
      <c r="A943" s="293"/>
      <c r="E943" s="293"/>
      <c r="L943" s="482"/>
      <c r="P943" s="293"/>
    </row>
    <row r="944" spans="1:16" ht="12.3">
      <c r="A944" s="293"/>
      <c r="E944" s="293"/>
      <c r="L944" s="482"/>
      <c r="P944" s="293"/>
    </row>
    <row r="945" spans="1:16" ht="12.3">
      <c r="A945" s="293"/>
      <c r="E945" s="293"/>
      <c r="L945" s="482"/>
      <c r="P945" s="293"/>
    </row>
    <row r="946" spans="1:16" ht="12.3">
      <c r="A946" s="293"/>
      <c r="E946" s="293"/>
      <c r="L946" s="482"/>
      <c r="P946" s="293"/>
    </row>
    <row r="947" spans="1:16" ht="12.3">
      <c r="A947" s="293"/>
      <c r="E947" s="293"/>
      <c r="L947" s="482"/>
      <c r="P947" s="293"/>
    </row>
    <row r="948" spans="1:16" ht="12.3">
      <c r="A948" s="293"/>
      <c r="E948" s="293"/>
      <c r="L948" s="482"/>
      <c r="P948" s="293"/>
    </row>
    <row r="949" spans="1:16" ht="12.3">
      <c r="A949" s="293"/>
      <c r="E949" s="293"/>
      <c r="L949" s="482"/>
      <c r="P949" s="293"/>
    </row>
    <row r="950" spans="1:16" ht="12.3">
      <c r="A950" s="293"/>
      <c r="E950" s="293"/>
      <c r="L950" s="482"/>
      <c r="P950" s="293"/>
    </row>
    <row r="951" spans="1:16" ht="12.3">
      <c r="A951" s="293"/>
      <c r="E951" s="293"/>
      <c r="L951" s="482"/>
      <c r="P951" s="293"/>
    </row>
    <row r="952" spans="1:16" ht="12.3">
      <c r="A952" s="293"/>
      <c r="E952" s="293"/>
      <c r="L952" s="482"/>
      <c r="P952" s="293"/>
    </row>
    <row r="953" spans="1:16" ht="12.3">
      <c r="A953" s="293"/>
      <c r="E953" s="293"/>
      <c r="L953" s="482"/>
      <c r="P953" s="293"/>
    </row>
    <row r="954" spans="1:16" ht="12.3">
      <c r="A954" s="293"/>
      <c r="E954" s="293"/>
      <c r="L954" s="482"/>
      <c r="P954" s="293"/>
    </row>
    <row r="955" spans="1:16" ht="12.3">
      <c r="A955" s="293"/>
      <c r="E955" s="293"/>
      <c r="L955" s="482"/>
      <c r="P955" s="293"/>
    </row>
    <row r="956" spans="1:16" ht="12.3">
      <c r="A956" s="293"/>
      <c r="E956" s="293"/>
      <c r="L956" s="482"/>
      <c r="P956" s="293"/>
    </row>
    <row r="957" spans="1:16" ht="12.3">
      <c r="A957" s="293"/>
      <c r="E957" s="293"/>
      <c r="L957" s="482"/>
      <c r="P957" s="293"/>
    </row>
    <row r="958" spans="1:16" ht="12.3">
      <c r="A958" s="293"/>
      <c r="E958" s="293"/>
      <c r="L958" s="482"/>
      <c r="P958" s="293"/>
    </row>
    <row r="959" spans="1:16" ht="12.3">
      <c r="A959" s="293"/>
      <c r="E959" s="293"/>
      <c r="L959" s="482"/>
      <c r="P959" s="293"/>
    </row>
    <row r="960" spans="1:16" ht="12.3">
      <c r="A960" s="293"/>
      <c r="E960" s="293"/>
      <c r="L960" s="482"/>
      <c r="P960" s="293"/>
    </row>
    <row r="961" spans="1:16" ht="12.3">
      <c r="A961" s="293"/>
      <c r="E961" s="293"/>
      <c r="L961" s="482"/>
      <c r="P961" s="293"/>
    </row>
    <row r="962" spans="1:16" ht="12.3">
      <c r="A962" s="293"/>
      <c r="E962" s="293"/>
      <c r="L962" s="482"/>
      <c r="P962" s="293"/>
    </row>
    <row r="963" spans="1:16" ht="12.3">
      <c r="A963" s="293"/>
      <c r="E963" s="293"/>
      <c r="L963" s="482"/>
      <c r="P963" s="293"/>
    </row>
    <row r="964" spans="1:16" ht="12.3">
      <c r="A964" s="293"/>
      <c r="E964" s="293"/>
      <c r="L964" s="482"/>
      <c r="P964" s="293"/>
    </row>
    <row r="965" spans="1:16" ht="12.3">
      <c r="A965" s="293"/>
      <c r="E965" s="293"/>
      <c r="L965" s="482"/>
      <c r="P965" s="293"/>
    </row>
    <row r="966" spans="1:16" ht="12.3">
      <c r="A966" s="293"/>
      <c r="E966" s="293"/>
      <c r="L966" s="482"/>
      <c r="P966" s="293"/>
    </row>
    <row r="967" spans="1:16" ht="12.3">
      <c r="A967" s="293"/>
      <c r="E967" s="293"/>
      <c r="L967" s="482"/>
      <c r="P967" s="293"/>
    </row>
    <row r="968" spans="1:16" ht="12.3">
      <c r="A968" s="293"/>
      <c r="E968" s="293"/>
      <c r="L968" s="482"/>
      <c r="P968" s="293"/>
    </row>
    <row r="969" spans="1:16" ht="12.3">
      <c r="A969" s="293"/>
      <c r="E969" s="293"/>
      <c r="L969" s="482"/>
      <c r="P969" s="293"/>
    </row>
    <row r="970" spans="1:16" ht="12.3">
      <c r="A970" s="293"/>
      <c r="E970" s="293"/>
      <c r="L970" s="482"/>
      <c r="P970" s="293"/>
    </row>
    <row r="971" spans="1:16" ht="12.3">
      <c r="A971" s="293"/>
      <c r="E971" s="293"/>
      <c r="L971" s="482"/>
      <c r="P971" s="293"/>
    </row>
    <row r="972" spans="1:16" ht="12.3">
      <c r="A972" s="293"/>
      <c r="E972" s="293"/>
      <c r="L972" s="482"/>
      <c r="P972" s="293"/>
    </row>
    <row r="973" spans="1:16" ht="12.3">
      <c r="A973" s="293"/>
      <c r="E973" s="293"/>
      <c r="L973" s="482"/>
      <c r="P973" s="293"/>
    </row>
    <row r="974" spans="1:16" ht="12.3">
      <c r="A974" s="293"/>
      <c r="E974" s="293"/>
      <c r="L974" s="482"/>
      <c r="P974" s="293"/>
    </row>
    <row r="975" spans="1:16" ht="12.3">
      <c r="A975" s="293"/>
      <c r="E975" s="293"/>
      <c r="L975" s="482"/>
      <c r="P975" s="293"/>
    </row>
    <row r="976" spans="1:16" ht="12.3">
      <c r="A976" s="293"/>
      <c r="E976" s="293"/>
      <c r="L976" s="482"/>
      <c r="P976" s="293"/>
    </row>
    <row r="977" spans="1:16" ht="12.3">
      <c r="A977" s="293"/>
      <c r="E977" s="293"/>
      <c r="L977" s="482"/>
      <c r="P977" s="293"/>
    </row>
    <row r="978" spans="1:16" ht="12.3">
      <c r="A978" s="293"/>
      <c r="E978" s="293"/>
      <c r="L978" s="482"/>
      <c r="P978" s="293"/>
    </row>
    <row r="979" spans="1:16" ht="12.3">
      <c r="A979" s="293"/>
      <c r="E979" s="293"/>
      <c r="L979" s="482"/>
      <c r="P979" s="293"/>
    </row>
    <row r="980" spans="1:16" ht="12.3">
      <c r="A980" s="293"/>
      <c r="E980" s="293"/>
      <c r="L980" s="482"/>
      <c r="P980" s="293"/>
    </row>
    <row r="981" spans="1:16" ht="12.3">
      <c r="A981" s="293"/>
      <c r="E981" s="293"/>
      <c r="L981" s="482"/>
      <c r="P981" s="293"/>
    </row>
    <row r="982" spans="1:16" ht="12.3">
      <c r="A982" s="293"/>
      <c r="E982" s="293"/>
      <c r="L982" s="482"/>
      <c r="P982" s="293"/>
    </row>
    <row r="983" spans="1:16" ht="12.3">
      <c r="A983" s="293"/>
      <c r="E983" s="293"/>
      <c r="L983" s="482"/>
      <c r="P983" s="293"/>
    </row>
    <row r="984" spans="1:16" ht="12.3">
      <c r="A984" s="293"/>
      <c r="E984" s="293"/>
      <c r="L984" s="482"/>
      <c r="P984" s="293"/>
    </row>
    <row r="985" spans="1:16" ht="12.3">
      <c r="A985" s="293"/>
      <c r="E985" s="293"/>
      <c r="L985" s="482"/>
      <c r="P985" s="293"/>
    </row>
    <row r="986" spans="1:16" ht="12.3">
      <c r="A986" s="293"/>
      <c r="E986" s="293"/>
      <c r="L986" s="482"/>
      <c r="P986" s="293"/>
    </row>
    <row r="987" spans="1:16" ht="12.3">
      <c r="A987" s="293"/>
      <c r="E987" s="293"/>
      <c r="L987" s="482"/>
      <c r="P987" s="293"/>
    </row>
    <row r="988" spans="1:16" ht="12.3">
      <c r="A988" s="293"/>
      <c r="E988" s="293"/>
      <c r="L988" s="482"/>
      <c r="P988" s="293"/>
    </row>
    <row r="989" spans="1:16" ht="12.3">
      <c r="A989" s="293"/>
      <c r="E989" s="293"/>
      <c r="L989" s="482"/>
      <c r="P989" s="293"/>
    </row>
    <row r="990" spans="1:16" ht="12.3">
      <c r="A990" s="293"/>
      <c r="E990" s="293"/>
      <c r="L990" s="482"/>
      <c r="P990" s="293"/>
    </row>
    <row r="991" spans="1:16" ht="12.3">
      <c r="A991" s="293"/>
      <c r="E991" s="293"/>
      <c r="L991" s="482"/>
      <c r="P991" s="293"/>
    </row>
    <row r="992" spans="1:16" ht="12.3">
      <c r="A992" s="293"/>
      <c r="E992" s="293"/>
      <c r="L992" s="482"/>
      <c r="P992" s="293"/>
    </row>
    <row r="993" spans="1:16" ht="12.3">
      <c r="A993" s="293"/>
      <c r="E993" s="293"/>
      <c r="L993" s="482"/>
      <c r="P993" s="293"/>
    </row>
    <row r="994" spans="1:16" ht="12.3">
      <c r="A994" s="293"/>
      <c r="E994" s="293"/>
      <c r="L994" s="482"/>
      <c r="P994" s="293"/>
    </row>
    <row r="995" spans="1:16" ht="12.3">
      <c r="A995" s="293"/>
      <c r="E995" s="293"/>
      <c r="L995" s="482"/>
      <c r="P995" s="293"/>
    </row>
    <row r="996" spans="1:16" ht="12.3">
      <c r="A996" s="293"/>
      <c r="E996" s="293"/>
      <c r="L996" s="482"/>
      <c r="P996" s="293"/>
    </row>
  </sheetData>
  <sheetProtection algorithmName="SHA-512" hashValue="g9otbGBeOGKj8m3tQmD1ltFB6O6MkwNMBAmi2rlPGM0VmLYhLJt/VKA1puInlg8qJhPMMi75agTNyJBpOCT4lA==" saltValue="KUiIGV28xAUXT1O5G98ILw==" spinCount="100000" sheet="1" objects="1" scenarios="1"/>
  <mergeCells count="3">
    <mergeCell ref="B4:G4"/>
    <mergeCell ref="F6:O6"/>
    <mergeCell ref="F26:O26"/>
  </mergeCells>
  <conditionalFormatting sqref="G22:J22">
    <cfRule type="containsText" dxfId="10" priority="4" operator="containsText" text="Error">
      <formula>NOT(ISERROR(SEARCH("Error",G22)))</formula>
    </cfRule>
  </conditionalFormatting>
  <conditionalFormatting sqref="G42">
    <cfRule type="containsText" dxfId="9" priority="3" operator="containsText" text="error">
      <formula>NOT(ISERROR(SEARCH("error",G42)))</formula>
    </cfRule>
  </conditionalFormatting>
  <conditionalFormatting sqref="G43">
    <cfRule type="containsText" dxfId="8" priority="2" operator="containsText" text="error">
      <formula>NOT(ISERROR(SEARCH("error",G43)))</formula>
    </cfRule>
  </conditionalFormatting>
  <conditionalFormatting sqref="G23">
    <cfRule type="containsText" dxfId="7" priority="1" operator="containsText" text="error">
      <formula>NOT(ISERROR(SEARCH("error",G23)))</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9" tint="-0.249977111117893"/>
    <outlinePr summaryBelow="0" summaryRight="0"/>
  </sheetPr>
  <dimension ref="A1:AD1058"/>
  <sheetViews>
    <sheetView showGridLines="0" topLeftCell="A7" workbookViewId="0">
      <selection activeCell="F13" sqref="F13"/>
    </sheetView>
  </sheetViews>
  <sheetFormatPr defaultColWidth="17.27734375" defaultRowHeight="15" customHeight="1"/>
  <cols>
    <col min="1" max="1" width="16.71875" style="279" customWidth="1"/>
    <col min="2" max="2" width="10.27734375" style="279" customWidth="1"/>
    <col min="3" max="3" width="10.109375" style="279" customWidth="1"/>
    <col min="4" max="4" width="11.71875" style="279" customWidth="1"/>
    <col min="5" max="5" width="13.27734375" style="279" customWidth="1"/>
    <col min="6" max="6" width="13.71875" style="279" customWidth="1"/>
    <col min="7" max="7" width="12.109375" style="279" customWidth="1"/>
    <col min="8" max="8" width="11.27734375" style="279" customWidth="1"/>
    <col min="9" max="9" width="12.44140625" style="279" customWidth="1"/>
    <col min="10" max="10" width="12" style="279" customWidth="1"/>
    <col min="11" max="11" width="13.109375" style="279" customWidth="1"/>
    <col min="12" max="12" width="16.44140625" style="279" customWidth="1"/>
    <col min="13" max="13" width="14.83203125" style="279" customWidth="1"/>
    <col min="14" max="14" width="14.44140625" style="279" customWidth="1"/>
    <col min="15" max="15" width="12.109375" style="279" customWidth="1"/>
    <col min="16" max="16" width="14.5546875" style="279" customWidth="1"/>
    <col min="17" max="19" width="11.44140625" style="279" customWidth="1"/>
    <col min="20" max="24" width="17.27734375" style="279"/>
  </cols>
  <sheetData>
    <row r="1" spans="1:30" ht="20.100000000000001">
      <c r="A1" s="483" t="s">
        <v>472</v>
      </c>
      <c r="B1" s="294"/>
      <c r="C1" s="294"/>
      <c r="D1" s="294"/>
      <c r="E1" s="484"/>
      <c r="F1" s="294"/>
      <c r="G1" s="328"/>
      <c r="H1" s="485"/>
      <c r="I1" s="326"/>
      <c r="J1" s="486"/>
      <c r="K1" s="486"/>
      <c r="L1" s="1252" t="s">
        <v>883</v>
      </c>
      <c r="M1" s="294"/>
      <c r="N1" s="326"/>
      <c r="O1" s="326"/>
      <c r="P1" s="326"/>
      <c r="Q1" s="294"/>
      <c r="R1" s="294"/>
      <c r="S1" s="294"/>
      <c r="T1" s="294"/>
      <c r="U1" s="294"/>
      <c r="V1" s="294"/>
      <c r="W1" s="294"/>
      <c r="X1" s="294"/>
      <c r="Y1" s="3"/>
      <c r="Z1" s="3"/>
      <c r="AA1" s="3"/>
      <c r="AB1" s="3"/>
      <c r="AC1" s="3"/>
      <c r="AD1" s="3"/>
    </row>
    <row r="2" spans="1:30" ht="24.6" customHeight="1">
      <c r="A2" s="487"/>
      <c r="B2" s="488"/>
      <c r="C2" s="488"/>
      <c r="D2" s="489"/>
      <c r="E2" s="490" t="s">
        <v>473</v>
      </c>
      <c r="F2" s="491" t="s">
        <v>463</v>
      </c>
      <c r="G2" s="492" t="s">
        <v>474</v>
      </c>
      <c r="H2" s="492" t="s">
        <v>475</v>
      </c>
      <c r="I2" s="492" t="s">
        <v>476</v>
      </c>
      <c r="L2" s="493" t="s">
        <v>716</v>
      </c>
      <c r="M2" s="494" t="s">
        <v>595</v>
      </c>
      <c r="N2" s="495" t="s">
        <v>717</v>
      </c>
    </row>
    <row r="3" spans="1:30" ht="16.8" customHeight="1">
      <c r="A3" s="1474" t="s">
        <v>719</v>
      </c>
      <c r="B3" s="1474"/>
      <c r="C3" s="1474"/>
      <c r="D3" s="1481"/>
      <c r="E3" s="365" t="s">
        <v>478</v>
      </c>
      <c r="F3" s="496">
        <f>J31+J49</f>
        <v>2593.5</v>
      </c>
      <c r="G3" s="496">
        <f>H31+H49</f>
        <v>19825.866666666665</v>
      </c>
      <c r="H3" s="323">
        <f>R31+R49</f>
        <v>15561.000000000002</v>
      </c>
      <c r="I3" s="323">
        <f>H3/12</f>
        <v>1296.7500000000002</v>
      </c>
      <c r="L3" s="1247" t="s">
        <v>479</v>
      </c>
      <c r="M3" s="1247" t="s">
        <v>480</v>
      </c>
      <c r="N3" s="497">
        <v>7.0000000000000007E-2</v>
      </c>
    </row>
    <row r="4" spans="1:30" ht="12.3">
      <c r="A4" s="1474"/>
      <c r="B4" s="1474"/>
      <c r="C4" s="1474"/>
      <c r="D4" s="1481"/>
      <c r="E4" s="365" t="str">
        <f>A52</f>
        <v>Media Beds</v>
      </c>
      <c r="F4" s="496">
        <f>I69+I87</f>
        <v>0</v>
      </c>
      <c r="G4" s="344"/>
      <c r="H4" s="323">
        <f>Q69+Q87</f>
        <v>0</v>
      </c>
      <c r="I4" s="323">
        <f>H4/12</f>
        <v>0</v>
      </c>
      <c r="L4" s="1247" t="s">
        <v>481</v>
      </c>
      <c r="M4" s="1247" t="s">
        <v>482</v>
      </c>
      <c r="N4" s="497"/>
    </row>
    <row r="5" spans="1:30" ht="12.3">
      <c r="A5" s="1474"/>
      <c r="B5" s="1474"/>
      <c r="C5" s="1474"/>
      <c r="D5" s="1481"/>
      <c r="E5" s="365" t="str">
        <f>A90</f>
        <v>Microgreens</v>
      </c>
      <c r="F5" s="496">
        <f>P107</f>
        <v>0</v>
      </c>
      <c r="G5" s="496">
        <f>'Plant &amp; Fish Production'!J96</f>
        <v>156</v>
      </c>
      <c r="H5" s="323">
        <f>L107</f>
        <v>0</v>
      </c>
      <c r="I5" s="323">
        <f>H5/12</f>
        <v>0</v>
      </c>
      <c r="L5" s="1248" t="s">
        <v>483</v>
      </c>
      <c r="M5" s="1248" t="s">
        <v>484</v>
      </c>
      <c r="N5" s="497"/>
    </row>
    <row r="6" spans="1:30" ht="12.6" thickBot="1">
      <c r="A6" s="1474"/>
      <c r="B6" s="1474"/>
      <c r="C6" s="1474"/>
      <c r="D6" s="1481"/>
      <c r="E6" s="499" t="s">
        <v>485</v>
      </c>
      <c r="F6" s="500" t="str">
        <f>D10</f>
        <v/>
      </c>
      <c r="G6" s="501" t="str">
        <f>'Plant &amp; Fish Production'!C72</f>
        <v/>
      </c>
      <c r="H6" s="502" t="str">
        <f>H12</f>
        <v/>
      </c>
      <c r="I6" s="502">
        <f>IFERROR(H6/12, 0)</f>
        <v>0</v>
      </c>
      <c r="L6" s="1247" t="str">
        <f>IF('Please Read First'!C11="metric","kg", "lb")</f>
        <v>lb</v>
      </c>
      <c r="M6" s="1247" t="s">
        <v>486</v>
      </c>
      <c r="N6" s="497"/>
    </row>
    <row r="7" spans="1:30" ht="24.6">
      <c r="A7" s="488"/>
      <c r="B7" s="488"/>
      <c r="C7" s="488"/>
      <c r="D7" s="489"/>
      <c r="E7" s="503" t="s">
        <v>443</v>
      </c>
      <c r="F7" s="504">
        <f>SUM(F3:F6)</f>
        <v>2593.5</v>
      </c>
      <c r="G7" s="505"/>
      <c r="H7" s="506">
        <f>SUM(H3:H6)</f>
        <v>15561.000000000002</v>
      </c>
      <c r="I7" s="507">
        <f>SUM(I3:I6)</f>
        <v>1296.7500000000002</v>
      </c>
      <c r="J7" s="508"/>
      <c r="L7" s="1249" t="s">
        <v>488</v>
      </c>
      <c r="M7" s="1249" t="s">
        <v>489</v>
      </c>
      <c r="N7" s="497"/>
    </row>
    <row r="8" spans="1:30" ht="22.5">
      <c r="A8" s="509" t="s">
        <v>490</v>
      </c>
      <c r="B8" s="510"/>
      <c r="C8" s="398" t="s">
        <v>718</v>
      </c>
      <c r="D8" s="511"/>
      <c r="E8" s="510"/>
      <c r="F8" s="510"/>
      <c r="G8" s="510"/>
      <c r="H8" s="512"/>
      <c r="I8" s="512"/>
      <c r="J8" s="510"/>
      <c r="L8" s="1247" t="s">
        <v>493</v>
      </c>
      <c r="M8" s="1247" t="s">
        <v>494</v>
      </c>
      <c r="N8" s="497"/>
      <c r="Q8" s="294"/>
      <c r="R8" s="294"/>
      <c r="S8" s="294"/>
      <c r="T8" s="294"/>
      <c r="U8" s="294"/>
      <c r="V8" s="294"/>
      <c r="W8" s="294"/>
      <c r="X8" s="294"/>
      <c r="Y8" s="3"/>
      <c r="Z8" s="3"/>
      <c r="AA8" s="3"/>
      <c r="AB8" s="3"/>
      <c r="AC8" s="3"/>
      <c r="AD8" s="3"/>
    </row>
    <row r="9" spans="1:30" ht="21">
      <c r="A9" s="513" t="s">
        <v>485</v>
      </c>
      <c r="B9" s="514" t="s">
        <v>495</v>
      </c>
      <c r="C9" s="514" t="s">
        <v>496</v>
      </c>
      <c r="D9" s="515" t="s">
        <v>497</v>
      </c>
      <c r="E9" s="515" t="s">
        <v>498</v>
      </c>
      <c r="F9" s="514" t="s">
        <v>499</v>
      </c>
      <c r="G9" s="514" t="s">
        <v>500</v>
      </c>
      <c r="H9" s="514" t="s">
        <v>501</v>
      </c>
      <c r="I9" s="514" t="s">
        <v>502</v>
      </c>
      <c r="K9" s="510"/>
      <c r="L9" s="1247" t="s">
        <v>881</v>
      </c>
      <c r="M9" s="1247" t="s">
        <v>503</v>
      </c>
      <c r="N9" s="497"/>
    </row>
    <row r="10" spans="1:30" ht="12.3">
      <c r="A10" s="429"/>
      <c r="B10" s="465">
        <f>'Plant &amp; Fish Production'!C62</f>
        <v>4.3636363636363633</v>
      </c>
      <c r="C10" s="516" t="str">
        <f>'Plant &amp; Fish Production'!C74</f>
        <v/>
      </c>
      <c r="D10" s="311" t="str">
        <f>'Plant &amp; Fish Production'!C73</f>
        <v/>
      </c>
      <c r="E10" s="311" t="str">
        <f>'Plant &amp; Fish Production'!C78</f>
        <v/>
      </c>
      <c r="F10" s="1540">
        <f>IFERROR(12/B10,"")</f>
        <v>2.75</v>
      </c>
      <c r="G10" s="517"/>
      <c r="H10" s="518"/>
      <c r="I10" s="346" t="str">
        <f>IFERROR(E10*G10+H10, "")</f>
        <v/>
      </c>
      <c r="K10" s="328"/>
      <c r="L10" s="1250" t="s">
        <v>882</v>
      </c>
      <c r="M10" s="1251"/>
      <c r="N10" s="1246"/>
    </row>
    <row r="11" spans="1:30" ht="21">
      <c r="A11" s="514" t="s">
        <v>506</v>
      </c>
      <c r="B11" s="514" t="str">
        <f>IF('Please Read First'!$C$11="metric", "Daily feed in kg", "Daily feed in lbs")</f>
        <v>Daily feed in lbs</v>
      </c>
      <c r="C11" s="514" t="str">
        <f>IF('Please Read First'!$C$11="metric", "Annual feed in kg", "Annual feed in lbs")</f>
        <v>Annual feed in lbs</v>
      </c>
      <c r="D11" s="519" t="str">
        <f>IF('Please Read First'!$C$11="metric", "Feed cost per kg", "Feed cost per lb")</f>
        <v>Feed cost per lb</v>
      </c>
      <c r="E11" s="519" t="s">
        <v>507</v>
      </c>
      <c r="F11" s="519" t="s">
        <v>508</v>
      </c>
      <c r="G11" s="520" t="str">
        <f>IF('Please Read First'!$C$11="metric", "Sale price per kg", "Sale price per lb")</f>
        <v>Sale price per lb</v>
      </c>
      <c r="H11" s="520" t="s">
        <v>475</v>
      </c>
      <c r="I11" s="520" t="s">
        <v>512</v>
      </c>
      <c r="L11" s="1243"/>
      <c r="M11" s="1244"/>
      <c r="N11" s="1245"/>
    </row>
    <row r="12" spans="1:30" ht="12.3">
      <c r="A12" s="521">
        <f>'Plant &amp; Fish Production'!C56</f>
        <v>1.5</v>
      </c>
      <c r="B12" s="521">
        <f>'Plant &amp; Fish Production'!C69</f>
        <v>0</v>
      </c>
      <c r="C12" s="522">
        <f>'Plant &amp; Fish Production'!C70</f>
        <v>0</v>
      </c>
      <c r="D12" s="404"/>
      <c r="E12" s="316">
        <f>IFERROR(D12*B12*30, "")</f>
        <v>0</v>
      </c>
      <c r="F12" s="316">
        <f>IFERROR(E12*12, "")</f>
        <v>0</v>
      </c>
      <c r="G12" s="517"/>
      <c r="H12" s="337" t="str">
        <f>IFERROR(G12*D10, "")</f>
        <v/>
      </c>
      <c r="I12" s="337" t="str">
        <f>IFERROR(H12/12, "")</f>
        <v/>
      </c>
      <c r="L12" s="1480"/>
      <c r="M12" s="1480"/>
      <c r="N12" s="1480"/>
    </row>
    <row r="13" spans="1:30" ht="22.5">
      <c r="A13" s="509"/>
      <c r="E13" s="523"/>
      <c r="G13" s="524"/>
      <c r="H13" s="524"/>
      <c r="L13" s="1480"/>
      <c r="M13" s="1480"/>
      <c r="N13" s="1480"/>
    </row>
    <row r="14" spans="1:30" ht="22.5">
      <c r="A14" s="509" t="s">
        <v>513</v>
      </c>
      <c r="E14" s="523"/>
      <c r="G14" s="524"/>
      <c r="H14" s="524"/>
    </row>
    <row r="15" spans="1:30" ht="12.3">
      <c r="A15" s="525" t="str">
        <f>'Plant &amp; Fish Production'!F6</f>
        <v>DWC - Summer Season: Apr - Sep</v>
      </c>
      <c r="B15" s="526"/>
      <c r="C15" s="526"/>
      <c r="D15" s="526"/>
      <c r="E15" s="526"/>
      <c r="F15" s="526"/>
      <c r="G15" s="526"/>
      <c r="H15" s="526"/>
      <c r="I15" s="526"/>
      <c r="J15" s="526"/>
      <c r="K15" s="527"/>
      <c r="L15" s="528"/>
      <c r="M15" s="528"/>
      <c r="N15" s="526"/>
      <c r="O15" s="526"/>
      <c r="P15" s="526"/>
      <c r="Q15" s="526"/>
      <c r="R15" s="526"/>
      <c r="S15" s="529"/>
    </row>
    <row r="16" spans="1:30" ht="30.9" customHeight="1">
      <c r="A16" s="530" t="s">
        <v>252</v>
      </c>
      <c r="B16" s="531" t="s">
        <v>514</v>
      </c>
      <c r="C16" s="531" t="s">
        <v>515</v>
      </c>
      <c r="D16" s="532" t="s">
        <v>516</v>
      </c>
      <c r="E16" s="533" t="s">
        <v>517</v>
      </c>
      <c r="F16" s="533" t="s">
        <v>518</v>
      </c>
      <c r="G16" s="533" t="s">
        <v>519</v>
      </c>
      <c r="H16" s="533" t="s">
        <v>520</v>
      </c>
      <c r="I16" s="534" t="str">
        <f>IF('Please Read First'!$C$11="metric", "Target harvest weight per plant in kg", "Target harvest weight per plant in oz")</f>
        <v>Target harvest weight per plant in oz</v>
      </c>
      <c r="J16" s="534" t="str">
        <f>IF('Please Read First'!$C$11="metric", "Total harvest weight in kg", "Total harvest weight in lbs")</f>
        <v>Total harvest weight in lbs</v>
      </c>
      <c r="K16" s="535" t="s">
        <v>521</v>
      </c>
      <c r="L16" s="535" t="s">
        <v>522</v>
      </c>
      <c r="M16" s="534" t="s">
        <v>523</v>
      </c>
      <c r="N16" s="534" t="s">
        <v>524</v>
      </c>
      <c r="O16" s="534" t="s">
        <v>525</v>
      </c>
      <c r="P16" s="534" t="s">
        <v>526</v>
      </c>
      <c r="Q16" s="536" t="s">
        <v>527</v>
      </c>
      <c r="R16" s="536" t="s">
        <v>528</v>
      </c>
      <c r="S16" s="537" t="s">
        <v>529</v>
      </c>
      <c r="X16" s="538"/>
      <c r="Y16" s="46"/>
      <c r="Z16" s="46"/>
      <c r="AA16" s="46"/>
      <c r="AB16" s="46"/>
      <c r="AC16" s="46"/>
      <c r="AD16" s="46"/>
    </row>
    <row r="17" spans="1:19" ht="12.3">
      <c r="A17" s="539" t="str">
        <f>IF('Plant &amp; Fish Production'!F8="", "", 'Plant &amp; Fish Production'!F8)</f>
        <v>Romaine</v>
      </c>
      <c r="B17" s="497">
        <v>0.01</v>
      </c>
      <c r="C17" s="497">
        <v>0.06</v>
      </c>
      <c r="D17" s="346">
        <f t="shared" ref="D17:D22" si="0">IF(B17="","",IF(C17="","",C17+B17))</f>
        <v>6.9999999999999993E-2</v>
      </c>
      <c r="E17" s="496">
        <f>'Plant &amp; Fish Production'!M8</f>
        <v>7280</v>
      </c>
      <c r="F17" s="346">
        <f t="shared" ref="F17:F22" si="1">IF(D17="","",IF(E17="","",D17*E17))</f>
        <v>509.59999999999997</v>
      </c>
      <c r="G17" s="540">
        <f>IF('Plant &amp; Fish Production'!N8="", "", 'Plant &amp; Fish Production'!N8)</f>
        <v>0.05</v>
      </c>
      <c r="H17" s="496">
        <f t="shared" ref="H17:H22" si="2">IF(G17="","",IF(E17="","",E17*(1-G17)))</f>
        <v>6916</v>
      </c>
      <c r="I17" s="541">
        <v>6</v>
      </c>
      <c r="J17" s="496">
        <f>IF(H17="","",IF(I17="","",IF('Please Read First'!$C$11="metric",'REV &amp; COGS'!H17*'REV &amp; COGS'!I17,(I17/16)*H17)))</f>
        <v>2593.5</v>
      </c>
      <c r="K17" s="542" t="s">
        <v>481</v>
      </c>
      <c r="L17" s="543" t="s">
        <v>482</v>
      </c>
      <c r="M17" s="252">
        <f>IF(L17="","", IF(L17=$M$3,$N$3,IF(L17=$M$4,$N$4,IF(L17=$M$5,$N$5,IF(L17=$M$6,$N$6,IF(L17=$M$7,$N$7,IF(L17=$M$8,$N$8,IF(L17=$M$9,$N$9,IF(L17=$M$10,$N$10,IF(L17=$M$11,$N$11))))))))))</f>
        <v>0</v>
      </c>
      <c r="N17" s="544">
        <f t="shared" ref="N17:N22" si="3">IF(B17="","",IF(C17="","",IF(K17="","",IF(M17="","",IF(H17=0,0,IF(K17=$L$4,D17*24+M17,IF(K17=$L$3,D17*12+M17,IF(K17=$L$5,D17+M17,IF(K17=$L$6,D17*H17/J17+M17,IF(K17=$L$7,D17*3+M17,IF(K17=$L$8,D17*6+M17)))))))))))</f>
        <v>1.6799999999999997</v>
      </c>
      <c r="O17" s="345">
        <f t="shared" ref="O17:O22" si="4">IF(H17="","",IF(K17="","",IF(K17=$L$4,H17/24,IF(K17=$L$3,H17/12,IF(K17=$L$5,H17,IF(K17=$L$6,J17,IF(K17=$L$7,H17/3,IF(K17=$L$8,H17/6,"error"))))))))</f>
        <v>288.16666666666669</v>
      </c>
      <c r="P17" s="346">
        <f>IF(O17="","",IF(M17="","",M17*O17))</f>
        <v>0</v>
      </c>
      <c r="Q17" s="497">
        <v>54</v>
      </c>
      <c r="R17" s="544">
        <f t="shared" ref="R17:R22" si="5">IF(O17="", "", Q17*O17)</f>
        <v>15561.000000000002</v>
      </c>
      <c r="S17" s="545">
        <f t="shared" ref="S17:S22" si="6">IF(R17="", "", R17/6)</f>
        <v>2593.5000000000005</v>
      </c>
    </row>
    <row r="18" spans="1:19" ht="12.3">
      <c r="A18" s="539" t="str">
        <f>IF('Plant &amp; Fish Production'!F9="", "", 'Plant &amp; Fish Production'!F9)</f>
        <v>Bibb Lettuce</v>
      </c>
      <c r="B18" s="497"/>
      <c r="C18" s="497"/>
      <c r="D18" s="346" t="str">
        <f t="shared" si="0"/>
        <v/>
      </c>
      <c r="E18" s="496">
        <f>'Plant &amp; Fish Production'!M9</f>
        <v>5200</v>
      </c>
      <c r="F18" s="346" t="str">
        <f t="shared" si="1"/>
        <v/>
      </c>
      <c r="G18" s="540">
        <f>IF('Plant &amp; Fish Production'!N9="", "", 'Plant &amp; Fish Production'!N9)</f>
        <v>0.05</v>
      </c>
      <c r="H18" s="496">
        <f t="shared" si="2"/>
        <v>4940</v>
      </c>
      <c r="I18" s="541"/>
      <c r="J18" s="496" t="str">
        <f>IF(H18="","",IF(I18="","",IF('Please Read First'!$C$11="metric",'REV &amp; COGS'!H18*'REV &amp; COGS'!I18,(I18/16)*H18)))</f>
        <v/>
      </c>
      <c r="K18" s="542"/>
      <c r="L18" s="543"/>
      <c r="M18" s="252" t="str">
        <f t="shared" ref="M18:M30" si="7">IF(L18="","", IF(L18=$M$3,$N$3,IF(L18=$M$4,$N$4,IF(L18=$M$5,$N$5,IF(L18=$M$6,$N$6,IF(L18=$M$7,$N$7,IF(L18=$M$8,$N$8,IF(L18=$M$9,$N$9,IF(L18=$M$10,$N$10,IF(L18=$M$11,$N$11))))))))))</f>
        <v/>
      </c>
      <c r="N18" s="544" t="str">
        <f t="shared" si="3"/>
        <v/>
      </c>
      <c r="O18" s="345" t="str">
        <f t="shared" si="4"/>
        <v/>
      </c>
      <c r="P18" s="346" t="str">
        <f t="shared" ref="P18:P30" si="8">IF(O18="","",IF(M18="","",M18*O18))</f>
        <v/>
      </c>
      <c r="Q18" s="497"/>
      <c r="R18" s="544" t="str">
        <f t="shared" si="5"/>
        <v/>
      </c>
      <c r="S18" s="545" t="str">
        <f t="shared" si="6"/>
        <v/>
      </c>
    </row>
    <row r="19" spans="1:19" ht="12.3">
      <c r="A19" s="539" t="str">
        <f>IF('Plant &amp; Fish Production'!F10="", "", 'Plant &amp; Fish Production'!F10)</f>
        <v>Green Star</v>
      </c>
      <c r="B19" s="497"/>
      <c r="C19" s="497"/>
      <c r="D19" s="346" t="str">
        <f t="shared" si="0"/>
        <v/>
      </c>
      <c r="E19" s="496">
        <f>'Plant &amp; Fish Production'!M10</f>
        <v>2773.3333333333335</v>
      </c>
      <c r="F19" s="346" t="str">
        <f t="shared" si="1"/>
        <v/>
      </c>
      <c r="G19" s="540">
        <f>IF('Plant &amp; Fish Production'!N10="", "", 'Plant &amp; Fish Production'!N10)</f>
        <v>0.05</v>
      </c>
      <c r="H19" s="496">
        <f t="shared" si="2"/>
        <v>2634.6666666666665</v>
      </c>
      <c r="I19" s="541"/>
      <c r="J19" s="496" t="str">
        <f>IF(H19="","",IF(I19="","",IF('Please Read First'!$C$11="metric",'REV &amp; COGS'!H19*'REV &amp; COGS'!I19,(I19/16)*H19)))</f>
        <v/>
      </c>
      <c r="K19" s="542"/>
      <c r="L19" s="543"/>
      <c r="M19" s="252" t="str">
        <f t="shared" si="7"/>
        <v/>
      </c>
      <c r="N19" s="544" t="str">
        <f t="shared" si="3"/>
        <v/>
      </c>
      <c r="O19" s="345" t="str">
        <f t="shared" si="4"/>
        <v/>
      </c>
      <c r="P19" s="346" t="str">
        <f t="shared" si="8"/>
        <v/>
      </c>
      <c r="Q19" s="497"/>
      <c r="R19" s="544" t="str">
        <f t="shared" si="5"/>
        <v/>
      </c>
      <c r="S19" s="545" t="str">
        <f t="shared" si="6"/>
        <v/>
      </c>
    </row>
    <row r="20" spans="1:19" ht="12.3">
      <c r="A20" s="539" t="str">
        <f>IF('Plant &amp; Fish Production'!F11="", "", 'Plant &amp; Fish Production'!F11)</f>
        <v>Mustard Greens</v>
      </c>
      <c r="B20" s="497"/>
      <c r="C20" s="497"/>
      <c r="D20" s="346" t="str">
        <f t="shared" si="0"/>
        <v/>
      </c>
      <c r="E20" s="496">
        <f>'Plant &amp; Fish Production'!M11</f>
        <v>3120</v>
      </c>
      <c r="F20" s="346" t="str">
        <f t="shared" si="1"/>
        <v/>
      </c>
      <c r="G20" s="540">
        <f>IF('Plant &amp; Fish Production'!N11="", "", 'Plant &amp; Fish Production'!N11)</f>
        <v>0.05</v>
      </c>
      <c r="H20" s="496">
        <f t="shared" si="2"/>
        <v>2964</v>
      </c>
      <c r="I20" s="541"/>
      <c r="J20" s="496" t="str">
        <f>IF(H20="","",IF(I20="","",IF('Please Read First'!$C$11="metric",'REV &amp; COGS'!H20*'REV &amp; COGS'!I20,(I20/16)*H20)))</f>
        <v/>
      </c>
      <c r="K20" s="542"/>
      <c r="L20" s="543"/>
      <c r="M20" s="252" t="str">
        <f t="shared" si="7"/>
        <v/>
      </c>
      <c r="N20" s="544" t="str">
        <f t="shared" si="3"/>
        <v/>
      </c>
      <c r="O20" s="345" t="str">
        <f t="shared" si="4"/>
        <v/>
      </c>
      <c r="P20" s="346" t="str">
        <f t="shared" si="8"/>
        <v/>
      </c>
      <c r="Q20" s="497"/>
      <c r="R20" s="544" t="str">
        <f t="shared" si="5"/>
        <v/>
      </c>
      <c r="S20" s="545" t="str">
        <f t="shared" si="6"/>
        <v/>
      </c>
    </row>
    <row r="21" spans="1:19" ht="12.3">
      <c r="A21" s="539" t="str">
        <f>IF('Plant &amp; Fish Production'!F12="", "", 'Plant &amp; Fish Production'!F12)</f>
        <v>Basil</v>
      </c>
      <c r="B21" s="497"/>
      <c r="C21" s="497"/>
      <c r="D21" s="346" t="str">
        <f t="shared" si="0"/>
        <v/>
      </c>
      <c r="E21" s="496">
        <f>'Plant &amp; Fish Production'!M12</f>
        <v>2496</v>
      </c>
      <c r="F21" s="346" t="str">
        <f t="shared" si="1"/>
        <v/>
      </c>
      <c r="G21" s="540">
        <f>IF('Plant &amp; Fish Production'!N12="", "", 'Plant &amp; Fish Production'!N12)</f>
        <v>0.05</v>
      </c>
      <c r="H21" s="496">
        <f t="shared" si="2"/>
        <v>2371.1999999999998</v>
      </c>
      <c r="I21" s="541"/>
      <c r="J21" s="496" t="str">
        <f>IF(H21="","",IF(I21="","",IF('Please Read First'!$C$11="metric",'REV &amp; COGS'!H21*'REV &amp; COGS'!I21,(I21/16)*H21)))</f>
        <v/>
      </c>
      <c r="K21" s="542"/>
      <c r="L21" s="543"/>
      <c r="M21" s="252" t="str">
        <f t="shared" si="7"/>
        <v/>
      </c>
      <c r="N21" s="544" t="str">
        <f t="shared" si="3"/>
        <v/>
      </c>
      <c r="O21" s="345" t="str">
        <f t="shared" si="4"/>
        <v/>
      </c>
      <c r="P21" s="346" t="str">
        <f t="shared" si="8"/>
        <v/>
      </c>
      <c r="Q21" s="497"/>
      <c r="R21" s="544" t="str">
        <f t="shared" si="5"/>
        <v/>
      </c>
      <c r="S21" s="545" t="str">
        <f t="shared" si="6"/>
        <v/>
      </c>
    </row>
    <row r="22" spans="1:19" ht="12.3">
      <c r="A22" s="539" t="str">
        <f>IF('Plant &amp; Fish Production'!F13="", "", 'Plant &amp; Fish Production'!F13)</f>
        <v/>
      </c>
      <c r="B22" s="497"/>
      <c r="C22" s="497"/>
      <c r="D22" s="346" t="str">
        <f t="shared" si="0"/>
        <v/>
      </c>
      <c r="E22" s="546" t="str">
        <f>'Plant &amp; Fish Production'!M13</f>
        <v/>
      </c>
      <c r="F22" s="346" t="str">
        <f t="shared" si="1"/>
        <v/>
      </c>
      <c r="G22" s="540" t="str">
        <f>IF('Plant &amp; Fish Production'!N13="", "", 'Plant &amp; Fish Production'!N13)</f>
        <v/>
      </c>
      <c r="H22" s="496" t="str">
        <f t="shared" si="2"/>
        <v/>
      </c>
      <c r="I22" s="541"/>
      <c r="J22" s="496" t="str">
        <f>IF(H22="","",IF(I22="","",IF('Please Read First'!$C$11="metric",'REV &amp; COGS'!H22*'REV &amp; COGS'!I22,(I22/16)*H22)))</f>
        <v/>
      </c>
      <c r="K22" s="542"/>
      <c r="L22" s="543"/>
      <c r="M22" s="252" t="str">
        <f t="shared" si="7"/>
        <v/>
      </c>
      <c r="N22" s="544" t="str">
        <f t="shared" si="3"/>
        <v/>
      </c>
      <c r="O22" s="345" t="str">
        <f t="shared" si="4"/>
        <v/>
      </c>
      <c r="P22" s="346" t="str">
        <f t="shared" si="8"/>
        <v/>
      </c>
      <c r="Q22" s="497"/>
      <c r="R22" s="544" t="str">
        <f t="shared" si="5"/>
        <v/>
      </c>
      <c r="S22" s="545" t="str">
        <f t="shared" si="6"/>
        <v/>
      </c>
    </row>
    <row r="23" spans="1:19" ht="12.3">
      <c r="A23" s="539" t="str">
        <f>IF('Plant &amp; Fish Production'!F14="", "", 'Plant &amp; Fish Production'!F14)</f>
        <v/>
      </c>
      <c r="B23" s="497"/>
      <c r="C23" s="497"/>
      <c r="D23" s="346" t="str">
        <f t="shared" ref="D23:D30" si="9">IF(B23="","",IF(C23="","",C23+B23))</f>
        <v/>
      </c>
      <c r="E23" s="546" t="str">
        <f>'Plant &amp; Fish Production'!M14</f>
        <v/>
      </c>
      <c r="F23" s="346" t="str">
        <f t="shared" ref="F23:F30" si="10">IF(D23="","",IF(E23="","",D23*E23))</f>
        <v/>
      </c>
      <c r="G23" s="540" t="str">
        <f>IF('Plant &amp; Fish Production'!N14="", "", 'Plant &amp; Fish Production'!N14)</f>
        <v/>
      </c>
      <c r="H23" s="496" t="str">
        <f t="shared" ref="H23:H30" si="11">IF(G23="","",IF(E23="","",E23*(1-G23)))</f>
        <v/>
      </c>
      <c r="I23" s="541"/>
      <c r="J23" s="496" t="str">
        <f>IF(H23="","",IF(I23="","",IF('Please Read First'!$C$11="metric",'REV &amp; COGS'!H23*'REV &amp; COGS'!I23,(I23/16)*H23)))</f>
        <v/>
      </c>
      <c r="K23" s="542"/>
      <c r="L23" s="543"/>
      <c r="M23" s="252" t="str">
        <f t="shared" si="7"/>
        <v/>
      </c>
      <c r="N23" s="544" t="str">
        <f t="shared" ref="N23:N30" si="12">IF(B23="","",IF(C23="","",IF(K23="","",IF(M23="","",IF(H23=0,0,IF(K23=$L$4,D23*24+M23,IF(K23=$L$3,D23*12+M23,IF(K23=$L$5,D23+M23,IF(K23=$L$6,D23*H23/J23+M23,IF(K23=$L$7,D23*3+M23,IF(K23=$L$8,D23*6+M23)))))))))))</f>
        <v/>
      </c>
      <c r="O23" s="345" t="str">
        <f t="shared" ref="O23:O30" si="13">IF(H23="","",IF(K23="","",IF(K23=$L$4,H23/24,IF(K23=$L$3,H23/12,IF(K23=$L$5,H23,IF(K23=$L$6,J23,IF(K23=$L$7,H23/3,IF(K23=$L$8,H23/6,"error"))))))))</f>
        <v/>
      </c>
      <c r="P23" s="346" t="str">
        <f t="shared" si="8"/>
        <v/>
      </c>
      <c r="Q23" s="497"/>
      <c r="R23" s="544" t="str">
        <f t="shared" ref="R23:R30" si="14">IF(O23="", "", Q23*O23)</f>
        <v/>
      </c>
      <c r="S23" s="545" t="str">
        <f t="shared" ref="S23:S30" si="15">IF(R23="", "", R23/6)</f>
        <v/>
      </c>
    </row>
    <row r="24" spans="1:19" ht="12.3">
      <c r="A24" s="539" t="str">
        <f>IF('Plant &amp; Fish Production'!F15="", "", 'Plant &amp; Fish Production'!F15)</f>
        <v/>
      </c>
      <c r="B24" s="497"/>
      <c r="C24" s="497"/>
      <c r="D24" s="346" t="str">
        <f t="shared" si="9"/>
        <v/>
      </c>
      <c r="E24" s="546" t="str">
        <f>'Plant &amp; Fish Production'!M15</f>
        <v/>
      </c>
      <c r="F24" s="346" t="str">
        <f t="shared" si="10"/>
        <v/>
      </c>
      <c r="G24" s="540" t="str">
        <f>IF('Plant &amp; Fish Production'!N15="", "", 'Plant &amp; Fish Production'!N15)</f>
        <v/>
      </c>
      <c r="H24" s="496" t="str">
        <f t="shared" si="11"/>
        <v/>
      </c>
      <c r="I24" s="541"/>
      <c r="J24" s="496" t="str">
        <f>IF(H24="","",IF(I24="","",IF('Please Read First'!$C$11="metric",'REV &amp; COGS'!H24*'REV &amp; COGS'!I24,(I24/16)*H24)))</f>
        <v/>
      </c>
      <c r="K24" s="542"/>
      <c r="L24" s="543"/>
      <c r="M24" s="252" t="str">
        <f t="shared" si="7"/>
        <v/>
      </c>
      <c r="N24" s="544" t="str">
        <f t="shared" si="12"/>
        <v/>
      </c>
      <c r="O24" s="345" t="str">
        <f t="shared" si="13"/>
        <v/>
      </c>
      <c r="P24" s="346" t="str">
        <f t="shared" si="8"/>
        <v/>
      </c>
      <c r="Q24" s="497"/>
      <c r="R24" s="544" t="str">
        <f t="shared" si="14"/>
        <v/>
      </c>
      <c r="S24" s="545" t="str">
        <f t="shared" si="15"/>
        <v/>
      </c>
    </row>
    <row r="25" spans="1:19" ht="12.3">
      <c r="A25" s="539" t="str">
        <f>IF('Plant &amp; Fish Production'!F16="", "", 'Plant &amp; Fish Production'!F16)</f>
        <v/>
      </c>
      <c r="B25" s="497"/>
      <c r="C25" s="497"/>
      <c r="D25" s="346" t="str">
        <f t="shared" si="9"/>
        <v/>
      </c>
      <c r="E25" s="546" t="str">
        <f>'Plant &amp; Fish Production'!M16</f>
        <v/>
      </c>
      <c r="F25" s="346" t="str">
        <f t="shared" si="10"/>
        <v/>
      </c>
      <c r="G25" s="540" t="str">
        <f>IF('Plant &amp; Fish Production'!N16="", "", 'Plant &amp; Fish Production'!N16)</f>
        <v/>
      </c>
      <c r="H25" s="496" t="str">
        <f t="shared" si="11"/>
        <v/>
      </c>
      <c r="I25" s="541"/>
      <c r="J25" s="496" t="str">
        <f>IF(H25="","",IF(I25="","",IF('Please Read First'!$C$11="metric",'REV &amp; COGS'!H25*'REV &amp; COGS'!I25,(I25/16)*H25)))</f>
        <v/>
      </c>
      <c r="K25" s="542"/>
      <c r="L25" s="543"/>
      <c r="M25" s="252" t="str">
        <f t="shared" si="7"/>
        <v/>
      </c>
      <c r="N25" s="544" t="str">
        <f t="shared" si="12"/>
        <v/>
      </c>
      <c r="O25" s="345" t="str">
        <f t="shared" si="13"/>
        <v/>
      </c>
      <c r="P25" s="346" t="str">
        <f t="shared" si="8"/>
        <v/>
      </c>
      <c r="Q25" s="497"/>
      <c r="R25" s="544" t="str">
        <f t="shared" si="14"/>
        <v/>
      </c>
      <c r="S25" s="545" t="str">
        <f t="shared" si="15"/>
        <v/>
      </c>
    </row>
    <row r="26" spans="1:19" ht="12.3">
      <c r="A26" s="539" t="str">
        <f>IF('Plant &amp; Fish Production'!F17="", "", 'Plant &amp; Fish Production'!F17)</f>
        <v/>
      </c>
      <c r="B26" s="497"/>
      <c r="C26" s="497"/>
      <c r="D26" s="346" t="str">
        <f t="shared" si="9"/>
        <v/>
      </c>
      <c r="E26" s="546" t="str">
        <f>'Plant &amp; Fish Production'!M17</f>
        <v/>
      </c>
      <c r="F26" s="346" t="str">
        <f t="shared" si="10"/>
        <v/>
      </c>
      <c r="G26" s="540" t="str">
        <f>IF('Plant &amp; Fish Production'!N17="", "", 'Plant &amp; Fish Production'!N17)</f>
        <v/>
      </c>
      <c r="H26" s="496" t="str">
        <f t="shared" si="11"/>
        <v/>
      </c>
      <c r="I26" s="541"/>
      <c r="J26" s="496" t="str">
        <f>IF(H26="","",IF(I26="","",IF('Please Read First'!$C$11="metric",'REV &amp; COGS'!H26*'REV &amp; COGS'!I26,(I26/16)*H26)))</f>
        <v/>
      </c>
      <c r="K26" s="542"/>
      <c r="L26" s="543"/>
      <c r="M26" s="252" t="str">
        <f t="shared" si="7"/>
        <v/>
      </c>
      <c r="N26" s="544" t="str">
        <f t="shared" si="12"/>
        <v/>
      </c>
      <c r="O26" s="345" t="str">
        <f t="shared" si="13"/>
        <v/>
      </c>
      <c r="P26" s="346" t="str">
        <f t="shared" si="8"/>
        <v/>
      </c>
      <c r="Q26" s="497"/>
      <c r="R26" s="544" t="str">
        <f t="shared" si="14"/>
        <v/>
      </c>
      <c r="S26" s="545" t="str">
        <f t="shared" si="15"/>
        <v/>
      </c>
    </row>
    <row r="27" spans="1:19" ht="12.3">
      <c r="A27" s="539" t="str">
        <f>IF('Plant &amp; Fish Production'!F18="", "", 'Plant &amp; Fish Production'!F18)</f>
        <v/>
      </c>
      <c r="B27" s="497"/>
      <c r="C27" s="497"/>
      <c r="D27" s="346" t="str">
        <f t="shared" si="9"/>
        <v/>
      </c>
      <c r="E27" s="546" t="str">
        <f>'Plant &amp; Fish Production'!M18</f>
        <v/>
      </c>
      <c r="F27" s="346" t="str">
        <f t="shared" si="10"/>
        <v/>
      </c>
      <c r="G27" s="540" t="str">
        <f>IF('Plant &amp; Fish Production'!N18="", "", 'Plant &amp; Fish Production'!N18)</f>
        <v/>
      </c>
      <c r="H27" s="496" t="str">
        <f t="shared" si="11"/>
        <v/>
      </c>
      <c r="I27" s="541"/>
      <c r="J27" s="496" t="str">
        <f>IF(H27="","",IF(I27="","",IF('Please Read First'!$C$11="metric",'REV &amp; COGS'!H27*'REV &amp; COGS'!I27,(I27/16)*H27)))</f>
        <v/>
      </c>
      <c r="K27" s="542"/>
      <c r="L27" s="543"/>
      <c r="M27" s="252" t="str">
        <f t="shared" si="7"/>
        <v/>
      </c>
      <c r="N27" s="544" t="str">
        <f t="shared" si="12"/>
        <v/>
      </c>
      <c r="O27" s="345" t="str">
        <f t="shared" si="13"/>
        <v/>
      </c>
      <c r="P27" s="346" t="str">
        <f t="shared" si="8"/>
        <v/>
      </c>
      <c r="Q27" s="497"/>
      <c r="R27" s="544" t="str">
        <f t="shared" si="14"/>
        <v/>
      </c>
      <c r="S27" s="545" t="str">
        <f t="shared" si="15"/>
        <v/>
      </c>
    </row>
    <row r="28" spans="1:19" ht="12.3">
      <c r="A28" s="539" t="str">
        <f>IF('Plant &amp; Fish Production'!F19="", "", 'Plant &amp; Fish Production'!F19)</f>
        <v/>
      </c>
      <c r="B28" s="497"/>
      <c r="C28" s="497"/>
      <c r="D28" s="346" t="str">
        <f t="shared" si="9"/>
        <v/>
      </c>
      <c r="E28" s="546" t="str">
        <f>'Plant &amp; Fish Production'!M19</f>
        <v/>
      </c>
      <c r="F28" s="346" t="str">
        <f t="shared" si="10"/>
        <v/>
      </c>
      <c r="G28" s="540" t="str">
        <f>IF('Plant &amp; Fish Production'!N19="", "", 'Plant &amp; Fish Production'!N19)</f>
        <v/>
      </c>
      <c r="H28" s="496" t="str">
        <f t="shared" si="11"/>
        <v/>
      </c>
      <c r="I28" s="541"/>
      <c r="J28" s="496" t="str">
        <f>IF(H28="","",IF(I28="","",IF('Please Read First'!$C$11="metric",'REV &amp; COGS'!H28*'REV &amp; COGS'!I28,(I28/16)*H28)))</f>
        <v/>
      </c>
      <c r="K28" s="542"/>
      <c r="L28" s="543"/>
      <c r="M28" s="252" t="str">
        <f t="shared" si="7"/>
        <v/>
      </c>
      <c r="N28" s="544" t="str">
        <f t="shared" si="12"/>
        <v/>
      </c>
      <c r="O28" s="345" t="str">
        <f t="shared" si="13"/>
        <v/>
      </c>
      <c r="P28" s="346" t="str">
        <f t="shared" si="8"/>
        <v/>
      </c>
      <c r="Q28" s="497"/>
      <c r="R28" s="544" t="str">
        <f t="shared" si="14"/>
        <v/>
      </c>
      <c r="S28" s="545" t="str">
        <f t="shared" si="15"/>
        <v/>
      </c>
    </row>
    <row r="29" spans="1:19" ht="12.3">
      <c r="A29" s="539" t="str">
        <f>IF('Plant &amp; Fish Production'!F20="", "", 'Plant &amp; Fish Production'!F20)</f>
        <v/>
      </c>
      <c r="B29" s="497"/>
      <c r="C29" s="497"/>
      <c r="D29" s="346" t="str">
        <f t="shared" si="9"/>
        <v/>
      </c>
      <c r="E29" s="546" t="str">
        <f>'Plant &amp; Fish Production'!M19</f>
        <v/>
      </c>
      <c r="F29" s="346" t="str">
        <f t="shared" si="10"/>
        <v/>
      </c>
      <c r="G29" s="540" t="str">
        <f>IF('Plant &amp; Fish Production'!N20="", "", 'Plant &amp; Fish Production'!N20)</f>
        <v/>
      </c>
      <c r="H29" s="496" t="str">
        <f t="shared" si="11"/>
        <v/>
      </c>
      <c r="I29" s="541"/>
      <c r="J29" s="496" t="str">
        <f>IF(H29="","",IF(I29="","",IF('Please Read First'!$C$11="metric",'REV &amp; COGS'!H29*'REV &amp; COGS'!I29,(I29/16)*H29)))</f>
        <v/>
      </c>
      <c r="K29" s="542"/>
      <c r="L29" s="543"/>
      <c r="M29" s="252" t="str">
        <f t="shared" si="7"/>
        <v/>
      </c>
      <c r="N29" s="544" t="str">
        <f t="shared" si="12"/>
        <v/>
      </c>
      <c r="O29" s="345" t="str">
        <f t="shared" si="13"/>
        <v/>
      </c>
      <c r="P29" s="346" t="str">
        <f t="shared" si="8"/>
        <v/>
      </c>
      <c r="Q29" s="497"/>
      <c r="R29" s="544" t="str">
        <f t="shared" si="14"/>
        <v/>
      </c>
      <c r="S29" s="545" t="str">
        <f t="shared" si="15"/>
        <v/>
      </c>
    </row>
    <row r="30" spans="1:19" ht="12.3">
      <c r="A30" s="539" t="str">
        <f>IF('Plant &amp; Fish Production'!F21="", "", 'Plant &amp; Fish Production'!F21)</f>
        <v/>
      </c>
      <c r="B30" s="547"/>
      <c r="C30" s="547"/>
      <c r="D30" s="346" t="str">
        <f t="shared" si="9"/>
        <v/>
      </c>
      <c r="E30" s="548" t="str">
        <f>'Plant &amp; Fish Production'!M20</f>
        <v/>
      </c>
      <c r="F30" s="346" t="str">
        <f t="shared" si="10"/>
        <v/>
      </c>
      <c r="G30" s="540" t="str">
        <f>IF('Plant &amp; Fish Production'!N21="", "", 'Plant &amp; Fish Production'!N21)</f>
        <v/>
      </c>
      <c r="H30" s="496" t="str">
        <f t="shared" si="11"/>
        <v/>
      </c>
      <c r="I30" s="549"/>
      <c r="J30" s="496" t="str">
        <f>IF(H30="","",IF(I30="","",IF('Please Read First'!$C$11="metric",'REV &amp; COGS'!H30*'REV &amp; COGS'!I30,(I30/16)*H30)))</f>
        <v/>
      </c>
      <c r="K30" s="550"/>
      <c r="L30" s="551"/>
      <c r="M30" s="252" t="str">
        <f t="shared" si="7"/>
        <v/>
      </c>
      <c r="N30" s="544" t="str">
        <f t="shared" si="12"/>
        <v/>
      </c>
      <c r="O30" s="345" t="str">
        <f t="shared" si="13"/>
        <v/>
      </c>
      <c r="P30" s="346" t="str">
        <f t="shared" si="8"/>
        <v/>
      </c>
      <c r="Q30" s="547"/>
      <c r="R30" s="544" t="str">
        <f t="shared" si="14"/>
        <v/>
      </c>
      <c r="S30" s="545" t="str">
        <f t="shared" si="15"/>
        <v/>
      </c>
    </row>
    <row r="31" spans="1:19" ht="12.3">
      <c r="A31" s="414" t="s">
        <v>443</v>
      </c>
      <c r="B31" s="552"/>
      <c r="C31" s="553"/>
      <c r="D31" s="553"/>
      <c r="E31" s="554">
        <f>SUM(E17:E30)</f>
        <v>20869.333333333336</v>
      </c>
      <c r="F31" s="555">
        <f>SUM(F17:F30)</f>
        <v>509.59999999999997</v>
      </c>
      <c r="G31" s="556"/>
      <c r="H31" s="554">
        <f>SUM(H17:H30)</f>
        <v>19825.866666666665</v>
      </c>
      <c r="I31" s="557"/>
      <c r="J31" s="558">
        <f>SUM(J17:J30)</f>
        <v>2593.5</v>
      </c>
      <c r="K31" s="557"/>
      <c r="L31" s="556"/>
      <c r="M31" s="556"/>
      <c r="N31" s="556"/>
      <c r="O31" s="559">
        <f>SUM(O17:O21)</f>
        <v>288.16666666666669</v>
      </c>
      <c r="P31" s="555">
        <f>SUM(P17:P30)</f>
        <v>0</v>
      </c>
      <c r="Q31" s="556"/>
      <c r="R31" s="555">
        <f>SUM(R17:R30)</f>
        <v>15561.000000000002</v>
      </c>
      <c r="S31" s="560">
        <f>SUM(S17:S30)</f>
        <v>2593.5000000000005</v>
      </c>
    </row>
    <row r="32" spans="1:19" ht="12.3">
      <c r="I32" s="523"/>
      <c r="J32" s="523"/>
      <c r="K32" s="523"/>
      <c r="M32" s="327"/>
      <c r="N32" s="327"/>
      <c r="P32" s="524"/>
      <c r="Q32" s="524"/>
      <c r="R32" s="524"/>
      <c r="S32" s="524"/>
    </row>
    <row r="33" spans="1:30" ht="12.3">
      <c r="A33" s="561" t="str">
        <f>'Plant &amp; Fish Production'!F26</f>
        <v>DWC - Winter Season: Oct - Mar</v>
      </c>
      <c r="B33" s="562"/>
      <c r="C33" s="562"/>
      <c r="D33" s="562"/>
      <c r="E33" s="562"/>
      <c r="F33" s="562"/>
      <c r="G33" s="562"/>
      <c r="H33" s="562"/>
      <c r="I33" s="562"/>
      <c r="J33" s="562"/>
      <c r="K33" s="563"/>
      <c r="L33" s="564"/>
      <c r="M33" s="564"/>
      <c r="N33" s="562"/>
      <c r="O33" s="562"/>
      <c r="P33" s="562"/>
      <c r="Q33" s="562"/>
      <c r="R33" s="562"/>
      <c r="S33" s="562"/>
      <c r="V33" s="294"/>
    </row>
    <row r="34" spans="1:30" ht="31.5">
      <c r="A34" s="530" t="s">
        <v>252</v>
      </c>
      <c r="B34" s="531" t="s">
        <v>514</v>
      </c>
      <c r="C34" s="531" t="s">
        <v>515</v>
      </c>
      <c r="D34" s="532" t="s">
        <v>516</v>
      </c>
      <c r="E34" s="533" t="s">
        <v>539</v>
      </c>
      <c r="F34" s="533" t="s">
        <v>518</v>
      </c>
      <c r="G34" s="533" t="s">
        <v>257</v>
      </c>
      <c r="H34" s="533" t="s">
        <v>540</v>
      </c>
      <c r="I34" s="534" t="str">
        <f>IF('Please Read First'!$C$11="metric", "Target harvest weight per plant in kg", "Target harvest weight per plant in oz")</f>
        <v>Target harvest weight per plant in oz</v>
      </c>
      <c r="J34" s="534" t="str">
        <f>IF('Please Read First'!$C$11="metric", "Total harvest weight in kg", "Total harvest weight in lbs")</f>
        <v>Total harvest weight in lbs</v>
      </c>
      <c r="K34" s="535" t="s">
        <v>521</v>
      </c>
      <c r="L34" s="535" t="s">
        <v>522</v>
      </c>
      <c r="M34" s="534" t="s">
        <v>523</v>
      </c>
      <c r="N34" s="534" t="s">
        <v>524</v>
      </c>
      <c r="O34" s="534" t="s">
        <v>525</v>
      </c>
      <c r="P34" s="534" t="s">
        <v>526</v>
      </c>
      <c r="Q34" s="536" t="s">
        <v>527</v>
      </c>
      <c r="R34" s="536" t="s">
        <v>542</v>
      </c>
      <c r="S34" s="537" t="s">
        <v>543</v>
      </c>
      <c r="W34" s="538"/>
      <c r="X34" s="538"/>
      <c r="Y34" s="46"/>
      <c r="Z34" s="46"/>
      <c r="AA34" s="46"/>
      <c r="AB34" s="46"/>
      <c r="AC34" s="46"/>
      <c r="AD34" s="46"/>
    </row>
    <row r="35" spans="1:30" ht="12.3">
      <c r="A35" s="539" t="str">
        <f>IF('Plant &amp; Fish Production'!F28="", "", 'Plant &amp; Fish Production'!F28)</f>
        <v>Romaine</v>
      </c>
      <c r="B35" s="497"/>
      <c r="C35" s="497"/>
      <c r="D35" s="346" t="str">
        <f t="shared" ref="D35:D48" si="16">IF(B35="","",IF(C35="","",C35+B35))</f>
        <v/>
      </c>
      <c r="E35" s="496" t="str">
        <f>'Plant &amp; Fish Production'!M28</f>
        <v/>
      </c>
      <c r="F35" s="346" t="str">
        <f t="shared" ref="F35:F48" si="17">IF(D35="","",IF(E35="","",D35*E35))</f>
        <v/>
      </c>
      <c r="G35" s="540" t="str">
        <f>IF('Plant &amp; Fish Production'!N28="", "", 'Plant &amp; Fish Production'!N28)</f>
        <v/>
      </c>
      <c r="H35" s="496" t="str">
        <f t="shared" ref="H35:H48" si="18">IF(G35="","",IF(E35="","",E35*(1-G35)))</f>
        <v/>
      </c>
      <c r="I35" s="541"/>
      <c r="J35" s="496" t="str">
        <f>IF(H35="","",IF(I35="","",IF('Please Read First'!$C$11="metric",'REV &amp; COGS'!H35*'REV &amp; COGS'!I35,(I35/16)*H35)))</f>
        <v/>
      </c>
      <c r="K35" s="542"/>
      <c r="L35" s="543"/>
      <c r="M35" s="252" t="str">
        <f t="shared" ref="M35:M48" si="19">IF(L35="","", IF(L35=$M$3,$N$3,IF(L35=$M$4,$N$4,IF(L35=$M$5,$N$5,IF(L35=$M$6,$N$6,IF(L35=$M$7,$N$7,IF(L35=$M$8,$N$8,IF(L35=$M$9,$N$9,IF(L35=$M$10,$N$10,IF(L35=$M$11,$N$11))))))))))</f>
        <v/>
      </c>
      <c r="N35" s="544" t="str">
        <f t="shared" ref="N35:N48" si="20">IF(B35="","",IF(C35="","",IF(K35="","",IF(M35="","",IF(H35=0,0,IF(K35=$L$4,D35*24+M35,IF(K35=$L$3,D35*12+M35,IF(K35=$L$5,D35+M35,IF(K35=$L$6,D35*H35/J35+M35,IF(K35=$L$7,D35*3+M35,IF(K35=$L$8,D35*6+M35)))))))))))</f>
        <v/>
      </c>
      <c r="O35" s="345" t="str">
        <f t="shared" ref="O35:O48" si="21">IF(H35="","",IF(K35="","",IF(K35=$L$4,H35/24,IF(K35=$L$3,H35/12,IF(K35=$L$5,H35,IF(K35=$L$6,J35,IF(K35=$L$7,H35/3,IF(K35=$L$8,H35/6,"error"))))))))</f>
        <v/>
      </c>
      <c r="P35" s="346" t="str">
        <f t="shared" ref="P35:P48" si="22">IF(O35="","",IF(M35="","",M35*O35))</f>
        <v/>
      </c>
      <c r="Q35" s="497"/>
      <c r="R35" s="544" t="str">
        <f t="shared" ref="R35:R48" si="23">IF(O35="", "", Q35*O35)</f>
        <v/>
      </c>
      <c r="S35" s="545" t="str">
        <f t="shared" ref="S35:S48" si="24">IF(R35="", "", R35/6)</f>
        <v/>
      </c>
      <c r="U35" s="565"/>
      <c r="V35" s="565"/>
    </row>
    <row r="36" spans="1:30" ht="12.3">
      <c r="A36" s="539" t="str">
        <f>IF('Plant &amp; Fish Production'!F29="", "", 'Plant &amp; Fish Production'!F29)</f>
        <v>Bibb Lettuce</v>
      </c>
      <c r="B36" s="497"/>
      <c r="C36" s="497"/>
      <c r="D36" s="346" t="str">
        <f t="shared" si="16"/>
        <v/>
      </c>
      <c r="E36" s="496" t="str">
        <f>'Plant &amp; Fish Production'!M29</f>
        <v/>
      </c>
      <c r="F36" s="346" t="str">
        <f t="shared" si="17"/>
        <v/>
      </c>
      <c r="G36" s="540" t="str">
        <f>IF('Plant &amp; Fish Production'!N29="", "", 'Plant &amp; Fish Production'!N29)</f>
        <v/>
      </c>
      <c r="H36" s="496" t="str">
        <f t="shared" si="18"/>
        <v/>
      </c>
      <c r="I36" s="541"/>
      <c r="J36" s="496" t="str">
        <f>IF(H36="","",IF(I36="","",IF('Please Read First'!$C$11="metric",'REV &amp; COGS'!H36*'REV &amp; COGS'!I36,(I36/16)*H36)))</f>
        <v/>
      </c>
      <c r="K36" s="542"/>
      <c r="L36" s="543"/>
      <c r="M36" s="252" t="str">
        <f t="shared" si="19"/>
        <v/>
      </c>
      <c r="N36" s="544" t="str">
        <f t="shared" si="20"/>
        <v/>
      </c>
      <c r="O36" s="345" t="str">
        <f t="shared" si="21"/>
        <v/>
      </c>
      <c r="P36" s="346" t="str">
        <f t="shared" si="22"/>
        <v/>
      </c>
      <c r="Q36" s="497"/>
      <c r="R36" s="544" t="str">
        <f t="shared" si="23"/>
        <v/>
      </c>
      <c r="S36" s="545" t="str">
        <f t="shared" si="24"/>
        <v/>
      </c>
      <c r="U36" s="294"/>
      <c r="V36" s="294"/>
    </row>
    <row r="37" spans="1:30" ht="12.3">
      <c r="A37" s="539" t="str">
        <f>IF('Plant &amp; Fish Production'!F30="", "", 'Plant &amp; Fish Production'!F30)</f>
        <v>Green Star</v>
      </c>
      <c r="B37" s="497"/>
      <c r="C37" s="497"/>
      <c r="D37" s="346" t="str">
        <f t="shared" si="16"/>
        <v/>
      </c>
      <c r="E37" s="496" t="str">
        <f>'Plant &amp; Fish Production'!M30</f>
        <v/>
      </c>
      <c r="F37" s="346" t="str">
        <f t="shared" si="17"/>
        <v/>
      </c>
      <c r="G37" s="540" t="str">
        <f>IF('Plant &amp; Fish Production'!N30="", "", 'Plant &amp; Fish Production'!N30)</f>
        <v/>
      </c>
      <c r="H37" s="496" t="str">
        <f t="shared" si="18"/>
        <v/>
      </c>
      <c r="I37" s="541"/>
      <c r="J37" s="496" t="str">
        <f>IF(H37="","",IF(I37="","",IF('Please Read First'!$C$11="metric",'REV &amp; COGS'!H37*'REV &amp; COGS'!I37,(I37/16)*H37)))</f>
        <v/>
      </c>
      <c r="K37" s="542"/>
      <c r="L37" s="543"/>
      <c r="M37" s="252" t="str">
        <f t="shared" si="19"/>
        <v/>
      </c>
      <c r="N37" s="544" t="str">
        <f t="shared" si="20"/>
        <v/>
      </c>
      <c r="O37" s="345" t="str">
        <f t="shared" si="21"/>
        <v/>
      </c>
      <c r="P37" s="346" t="str">
        <f t="shared" si="22"/>
        <v/>
      </c>
      <c r="Q37" s="497"/>
      <c r="R37" s="544" t="str">
        <f t="shared" si="23"/>
        <v/>
      </c>
      <c r="S37" s="545" t="str">
        <f t="shared" si="24"/>
        <v/>
      </c>
      <c r="U37" s="294"/>
      <c r="V37" s="294"/>
    </row>
    <row r="38" spans="1:30" ht="12.3">
      <c r="A38" s="539" t="str">
        <f>IF('Plant &amp; Fish Production'!F31="", "", 'Plant &amp; Fish Production'!F31)</f>
        <v>Mustard Greens</v>
      </c>
      <c r="B38" s="497"/>
      <c r="C38" s="497"/>
      <c r="D38" s="346" t="str">
        <f t="shared" si="16"/>
        <v/>
      </c>
      <c r="E38" s="496" t="str">
        <f>'Plant &amp; Fish Production'!M31</f>
        <v/>
      </c>
      <c r="F38" s="346" t="str">
        <f t="shared" si="17"/>
        <v/>
      </c>
      <c r="G38" s="540" t="str">
        <f>IF('Plant &amp; Fish Production'!N31="", "", 'Plant &amp; Fish Production'!N31)</f>
        <v/>
      </c>
      <c r="H38" s="496" t="str">
        <f t="shared" si="18"/>
        <v/>
      </c>
      <c r="I38" s="541"/>
      <c r="J38" s="496" t="str">
        <f>IF(H38="","",IF(I38="","",IF('Please Read First'!$C$11="metric",'REV &amp; COGS'!H38*'REV &amp; COGS'!I38,(I38/16)*H38)))</f>
        <v/>
      </c>
      <c r="K38" s="542"/>
      <c r="L38" s="543"/>
      <c r="M38" s="252" t="str">
        <f t="shared" si="19"/>
        <v/>
      </c>
      <c r="N38" s="544" t="str">
        <f t="shared" si="20"/>
        <v/>
      </c>
      <c r="O38" s="345" t="str">
        <f t="shared" si="21"/>
        <v/>
      </c>
      <c r="P38" s="346" t="str">
        <f t="shared" si="22"/>
        <v/>
      </c>
      <c r="Q38" s="497"/>
      <c r="R38" s="544" t="str">
        <f t="shared" si="23"/>
        <v/>
      </c>
      <c r="S38" s="545" t="str">
        <f t="shared" si="24"/>
        <v/>
      </c>
      <c r="U38" s="294"/>
      <c r="V38" s="294"/>
    </row>
    <row r="39" spans="1:30" ht="12.3">
      <c r="A39" s="539" t="str">
        <f>IF('Plant &amp; Fish Production'!F32="", "", 'Plant &amp; Fish Production'!F32)</f>
        <v>Red Russian Kale</v>
      </c>
      <c r="B39" s="497"/>
      <c r="C39" s="497"/>
      <c r="D39" s="346" t="str">
        <f t="shared" si="16"/>
        <v/>
      </c>
      <c r="E39" s="496" t="str">
        <f>'Plant &amp; Fish Production'!M32</f>
        <v/>
      </c>
      <c r="F39" s="346" t="str">
        <f t="shared" si="17"/>
        <v/>
      </c>
      <c r="G39" s="540" t="str">
        <f>IF('Plant &amp; Fish Production'!N32="", "", 'Plant &amp; Fish Production'!N32)</f>
        <v/>
      </c>
      <c r="H39" s="496" t="str">
        <f t="shared" si="18"/>
        <v/>
      </c>
      <c r="I39" s="541"/>
      <c r="J39" s="496" t="str">
        <f>IF(H39="","",IF(I39="","",IF('Please Read First'!$C$11="metric",'REV &amp; COGS'!H39*'REV &amp; COGS'!I39,(I39/16)*H39)))</f>
        <v/>
      </c>
      <c r="K39" s="542"/>
      <c r="L39" s="543"/>
      <c r="M39" s="252" t="str">
        <f t="shared" si="19"/>
        <v/>
      </c>
      <c r="N39" s="544" t="str">
        <f>IF(B39="","",IF(C39="","",IF(K39="","",IF(M39="","",IF(H39=0,0,IF(K39=$L$4,D39*24+M39,IF(K39=$L$3,D39*12+M39,IF(K39=$L$5,D39+M39,IF(K39=$L$6,D39*H39/J39+M39,IF(K39=$L$7,D39*3+M39,IF(K39=$L$8,D39*6+M39)))))))))))</f>
        <v/>
      </c>
      <c r="O39" s="345" t="str">
        <f t="shared" si="21"/>
        <v/>
      </c>
      <c r="P39" s="346" t="str">
        <f t="shared" si="22"/>
        <v/>
      </c>
      <c r="Q39" s="497"/>
      <c r="R39" s="544" t="str">
        <f t="shared" si="23"/>
        <v/>
      </c>
      <c r="S39" s="545" t="str">
        <f t="shared" si="24"/>
        <v/>
      </c>
      <c r="U39" s="294"/>
      <c r="V39" s="294"/>
    </row>
    <row r="40" spans="1:30" ht="12.3">
      <c r="A40" s="539" t="str">
        <f>IF('Plant &amp; Fish Production'!F33="", "", 'Plant &amp; Fish Production'!F33)</f>
        <v/>
      </c>
      <c r="B40" s="497"/>
      <c r="C40" s="497"/>
      <c r="D40" s="346" t="str">
        <f t="shared" si="16"/>
        <v/>
      </c>
      <c r="E40" s="496" t="str">
        <f>'Plant &amp; Fish Production'!M33</f>
        <v/>
      </c>
      <c r="F40" s="346" t="str">
        <f t="shared" si="17"/>
        <v/>
      </c>
      <c r="G40" s="540" t="str">
        <f>IF('Plant &amp; Fish Production'!N33="", "", 'Plant &amp; Fish Production'!N33)</f>
        <v/>
      </c>
      <c r="H40" s="496" t="str">
        <f t="shared" si="18"/>
        <v/>
      </c>
      <c r="I40" s="541"/>
      <c r="J40" s="496" t="str">
        <f>IF(H40="","",IF(I40="","",IF('Please Read First'!$C$11="metric",'REV &amp; COGS'!H40*'REV &amp; COGS'!I40,(I40/16)*H40)))</f>
        <v/>
      </c>
      <c r="K40" s="542"/>
      <c r="L40" s="543"/>
      <c r="M40" s="252" t="str">
        <f t="shared" si="19"/>
        <v/>
      </c>
      <c r="N40" s="544" t="str">
        <f t="shared" si="20"/>
        <v/>
      </c>
      <c r="O40" s="345" t="str">
        <f t="shared" si="21"/>
        <v/>
      </c>
      <c r="P40" s="346" t="str">
        <f t="shared" si="22"/>
        <v/>
      </c>
      <c r="Q40" s="497"/>
      <c r="R40" s="544" t="str">
        <f t="shared" si="23"/>
        <v/>
      </c>
      <c r="S40" s="545" t="str">
        <f t="shared" si="24"/>
        <v/>
      </c>
      <c r="U40" s="294"/>
      <c r="V40" s="294"/>
    </row>
    <row r="41" spans="1:30" ht="12.3">
      <c r="A41" s="539" t="str">
        <f>IF('Plant &amp; Fish Production'!F34="", "", 'Plant &amp; Fish Production'!F34)</f>
        <v/>
      </c>
      <c r="B41" s="497"/>
      <c r="C41" s="497"/>
      <c r="D41" s="346" t="str">
        <f t="shared" si="16"/>
        <v/>
      </c>
      <c r="E41" s="496" t="str">
        <f>'Plant &amp; Fish Production'!M34</f>
        <v/>
      </c>
      <c r="F41" s="346" t="str">
        <f t="shared" si="17"/>
        <v/>
      </c>
      <c r="G41" s="540" t="str">
        <f>IF('Plant &amp; Fish Production'!N34="", "", 'Plant &amp; Fish Production'!N34)</f>
        <v/>
      </c>
      <c r="H41" s="496" t="str">
        <f t="shared" si="18"/>
        <v/>
      </c>
      <c r="I41" s="541"/>
      <c r="J41" s="496" t="str">
        <f>IF(H41="","",IF(I41="","",IF('Please Read First'!$C$11="metric",'REV &amp; COGS'!H41*'REV &amp; COGS'!I41,(I41/16)*H41)))</f>
        <v/>
      </c>
      <c r="K41" s="542"/>
      <c r="L41" s="543"/>
      <c r="M41" s="252" t="str">
        <f t="shared" si="19"/>
        <v/>
      </c>
      <c r="N41" s="544" t="str">
        <f t="shared" si="20"/>
        <v/>
      </c>
      <c r="O41" s="345" t="str">
        <f t="shared" si="21"/>
        <v/>
      </c>
      <c r="P41" s="346" t="str">
        <f t="shared" si="22"/>
        <v/>
      </c>
      <c r="Q41" s="497"/>
      <c r="R41" s="544" t="str">
        <f t="shared" si="23"/>
        <v/>
      </c>
      <c r="S41" s="545" t="str">
        <f t="shared" si="24"/>
        <v/>
      </c>
      <c r="U41" s="294"/>
      <c r="V41" s="294"/>
    </row>
    <row r="42" spans="1:30" ht="12.3">
      <c r="A42" s="539" t="str">
        <f>IF('Plant &amp; Fish Production'!F35="", "", 'Plant &amp; Fish Production'!F35)</f>
        <v/>
      </c>
      <c r="B42" s="497"/>
      <c r="C42" s="497"/>
      <c r="D42" s="346" t="str">
        <f t="shared" si="16"/>
        <v/>
      </c>
      <c r="E42" s="496" t="str">
        <f>'Plant &amp; Fish Production'!M35</f>
        <v/>
      </c>
      <c r="F42" s="346" t="str">
        <f t="shared" si="17"/>
        <v/>
      </c>
      <c r="G42" s="540" t="str">
        <f>IF('Plant &amp; Fish Production'!N35="", "", 'Plant &amp; Fish Production'!N35)</f>
        <v/>
      </c>
      <c r="H42" s="496" t="str">
        <f t="shared" si="18"/>
        <v/>
      </c>
      <c r="I42" s="541"/>
      <c r="J42" s="496" t="str">
        <f>IF(H42="","",IF(I42="","",IF('Please Read First'!$C$11="metric",'REV &amp; COGS'!H42*'REV &amp; COGS'!I42,(I42/16)*H42)))</f>
        <v/>
      </c>
      <c r="K42" s="542"/>
      <c r="L42" s="543"/>
      <c r="M42" s="252" t="str">
        <f t="shared" si="19"/>
        <v/>
      </c>
      <c r="N42" s="544" t="str">
        <f t="shared" si="20"/>
        <v/>
      </c>
      <c r="O42" s="345" t="str">
        <f t="shared" si="21"/>
        <v/>
      </c>
      <c r="P42" s="346" t="str">
        <f t="shared" si="22"/>
        <v/>
      </c>
      <c r="Q42" s="497"/>
      <c r="R42" s="544" t="str">
        <f t="shared" si="23"/>
        <v/>
      </c>
      <c r="S42" s="545" t="str">
        <f t="shared" si="24"/>
        <v/>
      </c>
      <c r="U42" s="294"/>
      <c r="V42" s="294"/>
    </row>
    <row r="43" spans="1:30" ht="12.3">
      <c r="A43" s="539" t="str">
        <f>IF('Plant &amp; Fish Production'!F36="", "", 'Plant &amp; Fish Production'!F36)</f>
        <v/>
      </c>
      <c r="B43" s="497"/>
      <c r="C43" s="497"/>
      <c r="D43" s="346" t="str">
        <f t="shared" si="16"/>
        <v/>
      </c>
      <c r="E43" s="496" t="str">
        <f>'Plant &amp; Fish Production'!M36</f>
        <v/>
      </c>
      <c r="F43" s="346" t="str">
        <f t="shared" si="17"/>
        <v/>
      </c>
      <c r="G43" s="540" t="str">
        <f>IF('Plant &amp; Fish Production'!N36="", "", 'Plant &amp; Fish Production'!N36)</f>
        <v/>
      </c>
      <c r="H43" s="496" t="str">
        <f t="shared" si="18"/>
        <v/>
      </c>
      <c r="I43" s="541"/>
      <c r="J43" s="496" t="str">
        <f>IF(H43="","",IF(I43="","",IF('Please Read First'!$C$11="metric",'REV &amp; COGS'!H43*'REV &amp; COGS'!I43,(I43/16)*H43)))</f>
        <v/>
      </c>
      <c r="K43" s="542"/>
      <c r="L43" s="543"/>
      <c r="M43" s="252" t="str">
        <f t="shared" si="19"/>
        <v/>
      </c>
      <c r="N43" s="544" t="str">
        <f t="shared" si="20"/>
        <v/>
      </c>
      <c r="O43" s="345" t="str">
        <f t="shared" si="21"/>
        <v/>
      </c>
      <c r="P43" s="346" t="str">
        <f t="shared" si="22"/>
        <v/>
      </c>
      <c r="Q43" s="497"/>
      <c r="R43" s="544" t="str">
        <f t="shared" si="23"/>
        <v/>
      </c>
      <c r="S43" s="545" t="str">
        <f t="shared" si="24"/>
        <v/>
      </c>
      <c r="U43" s="294"/>
      <c r="V43" s="294"/>
    </row>
    <row r="44" spans="1:30" ht="12.3">
      <c r="A44" s="539" t="str">
        <f>IF('Plant &amp; Fish Production'!F37="", "", 'Plant &amp; Fish Production'!F37)</f>
        <v/>
      </c>
      <c r="B44" s="497"/>
      <c r="C44" s="497"/>
      <c r="D44" s="346" t="str">
        <f t="shared" si="16"/>
        <v/>
      </c>
      <c r="E44" s="496" t="str">
        <f>'Plant &amp; Fish Production'!M37</f>
        <v/>
      </c>
      <c r="F44" s="346" t="str">
        <f t="shared" si="17"/>
        <v/>
      </c>
      <c r="G44" s="540" t="str">
        <f>IF('Plant &amp; Fish Production'!N37="", "", 'Plant &amp; Fish Production'!N37)</f>
        <v/>
      </c>
      <c r="H44" s="496" t="str">
        <f t="shared" si="18"/>
        <v/>
      </c>
      <c r="I44" s="541"/>
      <c r="J44" s="496" t="str">
        <f>IF(H44="","",IF(I44="","",IF('Please Read First'!$C$11="metric",'REV &amp; COGS'!H44*'REV &amp; COGS'!I44,(I44/16)*H44)))</f>
        <v/>
      </c>
      <c r="K44" s="542"/>
      <c r="L44" s="543"/>
      <c r="M44" s="252" t="str">
        <f t="shared" si="19"/>
        <v/>
      </c>
      <c r="N44" s="544" t="str">
        <f t="shared" si="20"/>
        <v/>
      </c>
      <c r="O44" s="345" t="str">
        <f t="shared" si="21"/>
        <v/>
      </c>
      <c r="P44" s="346" t="str">
        <f t="shared" si="22"/>
        <v/>
      </c>
      <c r="Q44" s="497"/>
      <c r="R44" s="544" t="str">
        <f t="shared" si="23"/>
        <v/>
      </c>
      <c r="S44" s="545" t="str">
        <f t="shared" si="24"/>
        <v/>
      </c>
      <c r="U44" s="294"/>
      <c r="V44" s="294"/>
    </row>
    <row r="45" spans="1:30" ht="12.3">
      <c r="A45" s="539" t="str">
        <f>IF('Plant &amp; Fish Production'!F38="", "", 'Plant &amp; Fish Production'!F38)</f>
        <v/>
      </c>
      <c r="B45" s="497"/>
      <c r="C45" s="497"/>
      <c r="D45" s="346" t="str">
        <f t="shared" si="16"/>
        <v/>
      </c>
      <c r="E45" s="496" t="str">
        <f>'Plant &amp; Fish Production'!M38</f>
        <v/>
      </c>
      <c r="F45" s="346" t="str">
        <f t="shared" si="17"/>
        <v/>
      </c>
      <c r="G45" s="540" t="str">
        <f>IF('Plant &amp; Fish Production'!N38="", "", 'Plant &amp; Fish Production'!N38)</f>
        <v/>
      </c>
      <c r="H45" s="496" t="str">
        <f t="shared" si="18"/>
        <v/>
      </c>
      <c r="I45" s="541"/>
      <c r="J45" s="496" t="str">
        <f>IF(H45="","",IF(I45="","",IF('Please Read First'!$C$11="metric",'REV &amp; COGS'!H45*'REV &amp; COGS'!I45,(I45/16)*H45)))</f>
        <v/>
      </c>
      <c r="K45" s="542"/>
      <c r="L45" s="543"/>
      <c r="M45" s="252" t="str">
        <f t="shared" si="19"/>
        <v/>
      </c>
      <c r="N45" s="544" t="str">
        <f t="shared" si="20"/>
        <v/>
      </c>
      <c r="O45" s="345" t="str">
        <f t="shared" si="21"/>
        <v/>
      </c>
      <c r="P45" s="346" t="str">
        <f t="shared" si="22"/>
        <v/>
      </c>
      <c r="Q45" s="497"/>
      <c r="R45" s="544" t="str">
        <f t="shared" si="23"/>
        <v/>
      </c>
      <c r="S45" s="545" t="str">
        <f t="shared" si="24"/>
        <v/>
      </c>
      <c r="U45" s="294"/>
      <c r="V45" s="294"/>
    </row>
    <row r="46" spans="1:30" ht="12.3">
      <c r="A46" s="539" t="str">
        <f>IF('Plant &amp; Fish Production'!F39="", "", 'Plant &amp; Fish Production'!F39)</f>
        <v/>
      </c>
      <c r="B46" s="497"/>
      <c r="C46" s="497"/>
      <c r="D46" s="346" t="str">
        <f t="shared" si="16"/>
        <v/>
      </c>
      <c r="E46" s="496" t="str">
        <f>'Plant &amp; Fish Production'!M39</f>
        <v/>
      </c>
      <c r="F46" s="346" t="str">
        <f t="shared" si="17"/>
        <v/>
      </c>
      <c r="G46" s="540" t="str">
        <f>IF('Plant &amp; Fish Production'!N39="", "", 'Plant &amp; Fish Production'!N39)</f>
        <v/>
      </c>
      <c r="H46" s="496" t="str">
        <f t="shared" si="18"/>
        <v/>
      </c>
      <c r="I46" s="541"/>
      <c r="J46" s="496" t="str">
        <f>IF(H46="","",IF(I46="","",IF('Please Read First'!$C$11="metric",'REV &amp; COGS'!H46*'REV &amp; COGS'!I46,(I46/16)*H46)))</f>
        <v/>
      </c>
      <c r="K46" s="542"/>
      <c r="L46" s="543"/>
      <c r="M46" s="252" t="str">
        <f t="shared" si="19"/>
        <v/>
      </c>
      <c r="N46" s="544" t="str">
        <f t="shared" si="20"/>
        <v/>
      </c>
      <c r="O46" s="345" t="str">
        <f t="shared" si="21"/>
        <v/>
      </c>
      <c r="P46" s="346" t="str">
        <f t="shared" si="22"/>
        <v/>
      </c>
      <c r="Q46" s="497"/>
      <c r="R46" s="544" t="str">
        <f t="shared" si="23"/>
        <v/>
      </c>
      <c r="S46" s="545" t="str">
        <f t="shared" si="24"/>
        <v/>
      </c>
      <c r="U46" s="294"/>
      <c r="V46" s="294"/>
    </row>
    <row r="47" spans="1:30" ht="12.3">
      <c r="A47" s="539" t="str">
        <f>IF('Plant &amp; Fish Production'!F40="", "", 'Plant &amp; Fish Production'!F40)</f>
        <v/>
      </c>
      <c r="B47" s="497"/>
      <c r="C47" s="497"/>
      <c r="D47" s="346" t="str">
        <f t="shared" si="16"/>
        <v/>
      </c>
      <c r="E47" s="496" t="str">
        <f>'Plant &amp; Fish Production'!M40</f>
        <v/>
      </c>
      <c r="F47" s="346" t="str">
        <f t="shared" si="17"/>
        <v/>
      </c>
      <c r="G47" s="540" t="str">
        <f>IF('Plant &amp; Fish Production'!N40="", "", 'Plant &amp; Fish Production'!N40)</f>
        <v/>
      </c>
      <c r="H47" s="496" t="str">
        <f t="shared" si="18"/>
        <v/>
      </c>
      <c r="I47" s="541"/>
      <c r="J47" s="496" t="str">
        <f>IF(H47="","",IF(I47="","",IF('Please Read First'!$C$11="metric",'REV &amp; COGS'!H47*'REV &amp; COGS'!I47,(I47/16)*H47)))</f>
        <v/>
      </c>
      <c r="K47" s="542"/>
      <c r="L47" s="543"/>
      <c r="M47" s="252" t="str">
        <f t="shared" si="19"/>
        <v/>
      </c>
      <c r="N47" s="544" t="str">
        <f t="shared" si="20"/>
        <v/>
      </c>
      <c r="O47" s="345" t="str">
        <f t="shared" si="21"/>
        <v/>
      </c>
      <c r="P47" s="346" t="str">
        <f t="shared" si="22"/>
        <v/>
      </c>
      <c r="Q47" s="497"/>
      <c r="R47" s="544" t="str">
        <f t="shared" si="23"/>
        <v/>
      </c>
      <c r="S47" s="545" t="str">
        <f t="shared" si="24"/>
        <v/>
      </c>
      <c r="U47" s="294"/>
      <c r="V47" s="294"/>
    </row>
    <row r="48" spans="1:30" ht="12.3">
      <c r="A48" s="539" t="str">
        <f>IF('Plant &amp; Fish Production'!F41="", "", 'Plant &amp; Fish Production'!F41)</f>
        <v/>
      </c>
      <c r="B48" s="497"/>
      <c r="C48" s="497"/>
      <c r="D48" s="346" t="str">
        <f t="shared" si="16"/>
        <v/>
      </c>
      <c r="E48" s="496" t="str">
        <f>'Plant &amp; Fish Production'!M41</f>
        <v/>
      </c>
      <c r="F48" s="346" t="str">
        <f t="shared" si="17"/>
        <v/>
      </c>
      <c r="G48" s="540" t="str">
        <f>IF('Plant &amp; Fish Production'!N41="", "", 'Plant &amp; Fish Production'!N41)</f>
        <v/>
      </c>
      <c r="H48" s="496" t="str">
        <f t="shared" si="18"/>
        <v/>
      </c>
      <c r="I48" s="541"/>
      <c r="J48" s="496" t="str">
        <f>IF(H48="","",IF(I48="","",IF('Please Read First'!$C$11="metric",'REV &amp; COGS'!H48*'REV &amp; COGS'!I48,(I48/16)*H48)))</f>
        <v/>
      </c>
      <c r="K48" s="542"/>
      <c r="L48" s="543"/>
      <c r="M48" s="252" t="str">
        <f t="shared" si="19"/>
        <v/>
      </c>
      <c r="N48" s="544" t="str">
        <f t="shared" si="20"/>
        <v/>
      </c>
      <c r="O48" s="345" t="str">
        <f t="shared" si="21"/>
        <v/>
      </c>
      <c r="P48" s="346" t="str">
        <f t="shared" si="22"/>
        <v/>
      </c>
      <c r="Q48" s="497"/>
      <c r="R48" s="544" t="str">
        <f t="shared" si="23"/>
        <v/>
      </c>
      <c r="S48" s="545" t="str">
        <f t="shared" si="24"/>
        <v/>
      </c>
      <c r="U48" s="294"/>
      <c r="V48" s="294"/>
    </row>
    <row r="49" spans="1:30" ht="12.3">
      <c r="A49" s="566" t="s">
        <v>443</v>
      </c>
      <c r="B49" s="567"/>
      <c r="C49" s="553"/>
      <c r="D49" s="553"/>
      <c r="E49" s="554">
        <f>SUM(E35:E48)</f>
        <v>0</v>
      </c>
      <c r="F49" s="555">
        <f>SUM(F35:F48)</f>
        <v>0</v>
      </c>
      <c r="G49" s="556"/>
      <c r="H49" s="554">
        <f>SUM(H35:H48)</f>
        <v>0</v>
      </c>
      <c r="I49" s="557"/>
      <c r="J49" s="558">
        <f>SUM(J35:J48)</f>
        <v>0</v>
      </c>
      <c r="K49" s="557"/>
      <c r="L49" s="556"/>
      <c r="M49" s="556"/>
      <c r="N49" s="556"/>
      <c r="O49" s="559">
        <f>SUM(O35:O48)</f>
        <v>0</v>
      </c>
      <c r="P49" s="555">
        <f>SUM(P35:P48)</f>
        <v>0</v>
      </c>
      <c r="Q49" s="556"/>
      <c r="R49" s="555">
        <f>SUM(R35:R48)</f>
        <v>0</v>
      </c>
      <c r="S49" s="560">
        <f>SUM(S35:S48)</f>
        <v>0</v>
      </c>
      <c r="U49" s="294"/>
      <c r="V49" s="294"/>
    </row>
    <row r="50" spans="1:30" ht="12.3">
      <c r="E50" s="523"/>
      <c r="G50" s="524"/>
      <c r="H50" s="524"/>
      <c r="I50" s="524"/>
      <c r="J50" s="524"/>
      <c r="K50" s="568"/>
      <c r="M50" s="524"/>
      <c r="U50" s="294"/>
      <c r="V50" s="294"/>
    </row>
    <row r="51" spans="1:30" ht="6.75" customHeight="1">
      <c r="A51" s="569"/>
      <c r="B51" s="569"/>
      <c r="C51" s="569"/>
      <c r="D51" s="569"/>
      <c r="E51" s="570"/>
      <c r="F51" s="569"/>
      <c r="G51" s="571"/>
      <c r="H51" s="571"/>
      <c r="I51" s="571"/>
      <c r="J51" s="571"/>
      <c r="K51" s="572"/>
      <c r="L51" s="569"/>
      <c r="M51" s="571"/>
      <c r="N51" s="569"/>
      <c r="O51" s="569"/>
      <c r="P51" s="569"/>
      <c r="Q51" s="569"/>
      <c r="R51" s="569"/>
      <c r="S51" s="569"/>
      <c r="U51" s="294"/>
      <c r="V51" s="294"/>
    </row>
    <row r="52" spans="1:30" ht="22.5">
      <c r="A52" s="509" t="s">
        <v>533</v>
      </c>
      <c r="C52" s="368" t="s">
        <v>554</v>
      </c>
      <c r="E52" s="523"/>
      <c r="G52" s="524"/>
      <c r="H52" s="524"/>
      <c r="I52" s="524"/>
      <c r="J52" s="524"/>
      <c r="K52" s="568"/>
      <c r="M52" s="524"/>
      <c r="U52" s="294"/>
      <c r="V52" s="294"/>
    </row>
    <row r="53" spans="1:30" ht="12.6" thickBot="1">
      <c r="A53" s="561" t="str">
        <f>'Plant &amp; Fish Production'!F45</f>
        <v>Media Beds - Summer Season</v>
      </c>
      <c r="B53" s="562"/>
      <c r="C53" s="562"/>
      <c r="D53" s="562"/>
      <c r="E53" s="562"/>
      <c r="F53" s="562"/>
      <c r="G53" s="562"/>
      <c r="H53" s="562"/>
      <c r="I53" s="562"/>
      <c r="J53" s="563"/>
      <c r="K53" s="564"/>
      <c r="L53" s="564"/>
      <c r="M53" s="562"/>
      <c r="N53" s="562"/>
      <c r="O53" s="562"/>
      <c r="P53" s="562"/>
      <c r="Q53" s="562"/>
      <c r="R53" s="562"/>
      <c r="U53" s="294"/>
      <c r="V53" s="294"/>
    </row>
    <row r="54" spans="1:30" ht="21">
      <c r="A54" s="530" t="s">
        <v>252</v>
      </c>
      <c r="B54" s="531" t="s">
        <v>514</v>
      </c>
      <c r="C54" s="531" t="s">
        <v>515</v>
      </c>
      <c r="D54" s="532" t="s">
        <v>516</v>
      </c>
      <c r="E54" s="533" t="s">
        <v>555</v>
      </c>
      <c r="F54" s="533" t="s">
        <v>556</v>
      </c>
      <c r="G54" s="533" t="s">
        <v>446</v>
      </c>
      <c r="H54" s="533" t="s">
        <v>557</v>
      </c>
      <c r="I54" s="534" t="str">
        <f>IF('Please Read First'!$C$11="metric", "Total harvest weight in kg", "Total harvest weight in lbs")</f>
        <v>Total harvest weight in lbs</v>
      </c>
      <c r="J54" s="535" t="s">
        <v>521</v>
      </c>
      <c r="K54" s="535" t="s">
        <v>522</v>
      </c>
      <c r="L54" s="534" t="s">
        <v>523</v>
      </c>
      <c r="M54" s="534" t="s">
        <v>524</v>
      </c>
      <c r="N54" s="534" t="s">
        <v>525</v>
      </c>
      <c r="O54" s="534" t="s">
        <v>526</v>
      </c>
      <c r="P54" s="536" t="s">
        <v>527</v>
      </c>
      <c r="Q54" s="536" t="s">
        <v>558</v>
      </c>
      <c r="R54" s="537" t="s">
        <v>543</v>
      </c>
      <c r="U54" s="294"/>
      <c r="V54" s="294"/>
      <c r="W54" s="538"/>
      <c r="X54" s="538"/>
      <c r="Y54" s="46"/>
      <c r="Z54" s="46"/>
      <c r="AA54" s="46"/>
      <c r="AB54" s="46"/>
      <c r="AC54" s="46"/>
      <c r="AD54" s="46"/>
    </row>
    <row r="55" spans="1:30" ht="12.3">
      <c r="A55" s="539" t="str">
        <f>IF('Plant &amp; Fish Production'!F47="", "", 'Plant &amp; Fish Production'!F47)</f>
        <v>Tomatoes</v>
      </c>
      <c r="B55" s="497"/>
      <c r="C55" s="497"/>
      <c r="D55" s="346" t="str">
        <f t="shared" ref="D55:D68" si="25">IF(B55="","",IF(C55="","",C55+B55))</f>
        <v/>
      </c>
      <c r="E55" s="496" t="str">
        <f>'Plant &amp; Fish Production'!L47</f>
        <v/>
      </c>
      <c r="F55" s="346" t="str">
        <f t="shared" ref="F55:F68" si="26">IF(D55="","",IF(E55="","",D55*E55))</f>
        <v/>
      </c>
      <c r="G55" s="540" t="str">
        <f>IF('Plant &amp; Fish Production'!O47="", "", 'Plant &amp; Fish Production'!O47)</f>
        <v/>
      </c>
      <c r="H55" s="496" t="str">
        <f t="shared" ref="H55:H68" si="27">IF(G55="","",IF(E55="","",E55*(1-G55)))</f>
        <v/>
      </c>
      <c r="I55" s="496" t="str">
        <f>IF('Plant &amp; Fish Production'!P47="", "", 'Plant &amp; Fish Production'!P47)</f>
        <v/>
      </c>
      <c r="J55" s="542"/>
      <c r="K55" s="543"/>
      <c r="L55" s="252" t="str">
        <f t="shared" ref="L55:L68" si="28">IF(K55="","", IF(K55=$M$3,$N$3,IF(K55=$M$4,$N$4,IF(K55=$M$5,$N$5,IF(K55=$M$6,$N$6,IF(K55=$M$7,$N$7,IF(K55=$M$8,$N$8,IF(K55=$M$9,$N$9,IF(K55=$M$10,$N$10,IF(K55=$M$11,$N$11))))))))))</f>
        <v/>
      </c>
      <c r="M55" s="544" t="str">
        <f t="shared" ref="M55:M68" si="29">IF(J55="","",IF(D55="","",IF(H55=0,0,IF(J55=$L$4,D55*24+L55,IF(J55=$L$3,D55*12+L55,IF(J55=$L$5,D55+L55,IF(J55=$L$6,D55*H55/I55+L55,IF(J55=$L$7,D55*3+L55,IF(J55=$L$8,D55*6+L55)))))))))</f>
        <v/>
      </c>
      <c r="N55" s="345" t="str">
        <f t="shared" ref="N55:N68" si="30">IF(H55="","",IF(J55=$L$4,H55/24,IF(J55=$L$3,H55/12,IF(J55=$L$5,H55,IF(J55=$L$6,I55,IF(J55=$L$7,H55/3,IF(J55=$L$8,H55/6,"")))))))</f>
        <v/>
      </c>
      <c r="O55" s="346" t="str">
        <f>IF(N55="", "", L55*N55)</f>
        <v/>
      </c>
      <c r="P55" s="497"/>
      <c r="Q55" s="544" t="str">
        <f t="shared" ref="Q55:Q68" si="31">IF(N55="", "", P55*N55)</f>
        <v/>
      </c>
      <c r="R55" s="545" t="str">
        <f t="shared" ref="R55:R68" si="32">IF(Q55="", "", Q55/6)</f>
        <v/>
      </c>
      <c r="U55" s="565"/>
      <c r="V55" s="565"/>
    </row>
    <row r="56" spans="1:30" ht="12.3">
      <c r="A56" s="539" t="str">
        <f>IF('Plant &amp; Fish Production'!F48="", "", 'Plant &amp; Fish Production'!F48)</f>
        <v>Squash</v>
      </c>
      <c r="B56" s="497"/>
      <c r="C56" s="497"/>
      <c r="D56" s="346" t="str">
        <f t="shared" si="25"/>
        <v/>
      </c>
      <c r="E56" s="496" t="str">
        <f>'Plant &amp; Fish Production'!L48</f>
        <v/>
      </c>
      <c r="F56" s="346" t="str">
        <f t="shared" si="26"/>
        <v/>
      </c>
      <c r="G56" s="540" t="str">
        <f>IF('Plant &amp; Fish Production'!O48="", "", 'Plant &amp; Fish Production'!O48)</f>
        <v/>
      </c>
      <c r="H56" s="496" t="str">
        <f t="shared" si="27"/>
        <v/>
      </c>
      <c r="I56" s="496" t="str">
        <f>IF('Plant &amp; Fish Production'!P48="", "", 'Plant &amp; Fish Production'!P48)</f>
        <v/>
      </c>
      <c r="J56" s="542"/>
      <c r="K56" s="543"/>
      <c r="L56" s="252" t="str">
        <f t="shared" si="28"/>
        <v/>
      </c>
      <c r="M56" s="544" t="str">
        <f t="shared" si="29"/>
        <v/>
      </c>
      <c r="N56" s="345" t="str">
        <f t="shared" si="30"/>
        <v/>
      </c>
      <c r="O56" s="346" t="str">
        <f t="shared" ref="O56:O68" si="33">IF(N56="", "", L56*N56)</f>
        <v/>
      </c>
      <c r="P56" s="497"/>
      <c r="Q56" s="544" t="str">
        <f t="shared" si="31"/>
        <v/>
      </c>
      <c r="R56" s="545" t="str">
        <f t="shared" si="32"/>
        <v/>
      </c>
      <c r="U56" s="294"/>
      <c r="V56" s="294"/>
    </row>
    <row r="57" spans="1:30" ht="12.3">
      <c r="A57" s="539" t="str">
        <f>IF('Plant &amp; Fish Production'!F49="", "", 'Plant &amp; Fish Production'!F49)</f>
        <v>Peppers</v>
      </c>
      <c r="B57" s="497"/>
      <c r="C57" s="497"/>
      <c r="D57" s="346" t="str">
        <f t="shared" si="25"/>
        <v/>
      </c>
      <c r="E57" s="496" t="str">
        <f>'Plant &amp; Fish Production'!L49</f>
        <v/>
      </c>
      <c r="F57" s="346" t="str">
        <f t="shared" si="26"/>
        <v/>
      </c>
      <c r="G57" s="540" t="str">
        <f>IF('Plant &amp; Fish Production'!O49="", "", 'Plant &amp; Fish Production'!O49)</f>
        <v/>
      </c>
      <c r="H57" s="496" t="str">
        <f t="shared" si="27"/>
        <v/>
      </c>
      <c r="I57" s="496" t="str">
        <f>IF('Plant &amp; Fish Production'!P49="", "", 'Plant &amp; Fish Production'!P49)</f>
        <v/>
      </c>
      <c r="J57" s="542"/>
      <c r="K57" s="543"/>
      <c r="L57" s="252" t="str">
        <f t="shared" si="28"/>
        <v/>
      </c>
      <c r="M57" s="544" t="str">
        <f t="shared" si="29"/>
        <v/>
      </c>
      <c r="N57" s="345" t="str">
        <f t="shared" si="30"/>
        <v/>
      </c>
      <c r="O57" s="346" t="str">
        <f t="shared" si="33"/>
        <v/>
      </c>
      <c r="P57" s="497"/>
      <c r="Q57" s="544" t="str">
        <f t="shared" si="31"/>
        <v/>
      </c>
      <c r="R57" s="545" t="str">
        <f t="shared" si="32"/>
        <v/>
      </c>
      <c r="U57" s="294"/>
      <c r="V57" s="294"/>
    </row>
    <row r="58" spans="1:30" ht="12.3">
      <c r="A58" s="539" t="str">
        <f>IF('Plant &amp; Fish Production'!F50="", "", 'Plant &amp; Fish Production'!F50)</f>
        <v>Cucumbers</v>
      </c>
      <c r="B58" s="497"/>
      <c r="C58" s="497"/>
      <c r="D58" s="346" t="str">
        <f t="shared" si="25"/>
        <v/>
      </c>
      <c r="E58" s="496" t="str">
        <f>'Plant &amp; Fish Production'!L50</f>
        <v/>
      </c>
      <c r="F58" s="346" t="str">
        <f t="shared" si="26"/>
        <v/>
      </c>
      <c r="G58" s="540" t="str">
        <f>IF('Plant &amp; Fish Production'!O50="", "", 'Plant &amp; Fish Production'!O50)</f>
        <v/>
      </c>
      <c r="H58" s="496" t="str">
        <f t="shared" si="27"/>
        <v/>
      </c>
      <c r="I58" s="496" t="str">
        <f>IF('Plant &amp; Fish Production'!P50="", "", 'Plant &amp; Fish Production'!P50)</f>
        <v/>
      </c>
      <c r="J58" s="542"/>
      <c r="K58" s="543"/>
      <c r="L58" s="252" t="str">
        <f t="shared" si="28"/>
        <v/>
      </c>
      <c r="M58" s="544" t="str">
        <f t="shared" si="29"/>
        <v/>
      </c>
      <c r="N58" s="345" t="str">
        <f t="shared" si="30"/>
        <v/>
      </c>
      <c r="O58" s="346" t="str">
        <f t="shared" si="33"/>
        <v/>
      </c>
      <c r="P58" s="497"/>
      <c r="Q58" s="544" t="str">
        <f t="shared" si="31"/>
        <v/>
      </c>
      <c r="R58" s="545" t="str">
        <f t="shared" si="32"/>
        <v/>
      </c>
      <c r="U58" s="294"/>
      <c r="V58" s="294"/>
    </row>
    <row r="59" spans="1:30" ht="12.3">
      <c r="A59" s="539" t="str">
        <f>IF('Plant &amp; Fish Production'!F51="", "", 'Plant &amp; Fish Production'!F51)</f>
        <v/>
      </c>
      <c r="B59" s="497"/>
      <c r="C59" s="497"/>
      <c r="D59" s="346" t="str">
        <f t="shared" si="25"/>
        <v/>
      </c>
      <c r="E59" s="496" t="str">
        <f>'Plant &amp; Fish Production'!L51</f>
        <v/>
      </c>
      <c r="F59" s="346" t="str">
        <f t="shared" si="26"/>
        <v/>
      </c>
      <c r="G59" s="540" t="str">
        <f>IF('Plant &amp; Fish Production'!O51="", "", 'Plant &amp; Fish Production'!O51)</f>
        <v/>
      </c>
      <c r="H59" s="496" t="str">
        <f t="shared" si="27"/>
        <v/>
      </c>
      <c r="I59" s="496" t="str">
        <f>IF('Plant &amp; Fish Production'!P51="", "", 'Plant &amp; Fish Production'!P51)</f>
        <v/>
      </c>
      <c r="J59" s="542"/>
      <c r="K59" s="543"/>
      <c r="L59" s="252" t="str">
        <f t="shared" si="28"/>
        <v/>
      </c>
      <c r="M59" s="544" t="str">
        <f t="shared" si="29"/>
        <v/>
      </c>
      <c r="N59" s="345" t="str">
        <f t="shared" si="30"/>
        <v/>
      </c>
      <c r="O59" s="346" t="str">
        <f t="shared" si="33"/>
        <v/>
      </c>
      <c r="P59" s="497"/>
      <c r="Q59" s="544" t="str">
        <f t="shared" si="31"/>
        <v/>
      </c>
      <c r="R59" s="545" t="str">
        <f t="shared" si="32"/>
        <v/>
      </c>
      <c r="U59" s="294"/>
      <c r="V59" s="294"/>
    </row>
    <row r="60" spans="1:30" ht="12.3">
      <c r="A60" s="539" t="str">
        <f>IF('Plant &amp; Fish Production'!F52="", "", 'Plant &amp; Fish Production'!F52)</f>
        <v/>
      </c>
      <c r="B60" s="497"/>
      <c r="C60" s="497"/>
      <c r="D60" s="346" t="str">
        <f t="shared" si="25"/>
        <v/>
      </c>
      <c r="E60" s="496" t="str">
        <f>'Plant &amp; Fish Production'!L52</f>
        <v/>
      </c>
      <c r="F60" s="346" t="str">
        <f t="shared" si="26"/>
        <v/>
      </c>
      <c r="G60" s="540" t="str">
        <f>IF('Plant &amp; Fish Production'!O52="", "", 'Plant &amp; Fish Production'!O52)</f>
        <v/>
      </c>
      <c r="H60" s="496" t="str">
        <f t="shared" si="27"/>
        <v/>
      </c>
      <c r="I60" s="496" t="str">
        <f>IF('Plant &amp; Fish Production'!P52="", "", 'Plant &amp; Fish Production'!P52)</f>
        <v/>
      </c>
      <c r="J60" s="542"/>
      <c r="K60" s="543"/>
      <c r="L60" s="252" t="str">
        <f t="shared" si="28"/>
        <v/>
      </c>
      <c r="M60" s="544" t="str">
        <f t="shared" si="29"/>
        <v/>
      </c>
      <c r="N60" s="345" t="str">
        <f t="shared" si="30"/>
        <v/>
      </c>
      <c r="O60" s="346" t="str">
        <f t="shared" si="33"/>
        <v/>
      </c>
      <c r="P60" s="497"/>
      <c r="Q60" s="544" t="str">
        <f t="shared" si="31"/>
        <v/>
      </c>
      <c r="R60" s="545" t="str">
        <f t="shared" si="32"/>
        <v/>
      </c>
      <c r="U60" s="294"/>
      <c r="V60" s="294"/>
    </row>
    <row r="61" spans="1:30" ht="12.3">
      <c r="A61" s="539" t="str">
        <f>IF('Plant &amp; Fish Production'!F53="", "", 'Plant &amp; Fish Production'!F53)</f>
        <v/>
      </c>
      <c r="B61" s="497"/>
      <c r="C61" s="497"/>
      <c r="D61" s="346" t="str">
        <f t="shared" si="25"/>
        <v/>
      </c>
      <c r="E61" s="496" t="str">
        <f>'Plant &amp; Fish Production'!L53</f>
        <v/>
      </c>
      <c r="F61" s="346" t="str">
        <f t="shared" si="26"/>
        <v/>
      </c>
      <c r="G61" s="540" t="str">
        <f>IF('Plant &amp; Fish Production'!O53="", "", 'Plant &amp; Fish Production'!O53)</f>
        <v/>
      </c>
      <c r="H61" s="496" t="str">
        <f t="shared" si="27"/>
        <v/>
      </c>
      <c r="I61" s="496" t="str">
        <f>IF('Plant &amp; Fish Production'!P53="", "", 'Plant &amp; Fish Production'!P53)</f>
        <v/>
      </c>
      <c r="J61" s="542"/>
      <c r="K61" s="543"/>
      <c r="L61" s="252" t="str">
        <f t="shared" si="28"/>
        <v/>
      </c>
      <c r="M61" s="544" t="str">
        <f t="shared" si="29"/>
        <v/>
      </c>
      <c r="N61" s="345" t="str">
        <f t="shared" si="30"/>
        <v/>
      </c>
      <c r="O61" s="346" t="str">
        <f t="shared" si="33"/>
        <v/>
      </c>
      <c r="P61" s="497"/>
      <c r="Q61" s="544" t="str">
        <f t="shared" si="31"/>
        <v/>
      </c>
      <c r="R61" s="545" t="str">
        <f t="shared" si="32"/>
        <v/>
      </c>
      <c r="U61" s="294"/>
      <c r="V61" s="294"/>
    </row>
    <row r="62" spans="1:30" ht="12.3">
      <c r="A62" s="539" t="str">
        <f>IF('Plant &amp; Fish Production'!F54="", "", 'Plant &amp; Fish Production'!F54)</f>
        <v/>
      </c>
      <c r="B62" s="497"/>
      <c r="C62" s="497"/>
      <c r="D62" s="346" t="str">
        <f t="shared" si="25"/>
        <v/>
      </c>
      <c r="E62" s="496" t="str">
        <f>'Plant &amp; Fish Production'!L54</f>
        <v/>
      </c>
      <c r="F62" s="346" t="str">
        <f t="shared" si="26"/>
        <v/>
      </c>
      <c r="G62" s="540" t="str">
        <f>IF('Plant &amp; Fish Production'!O54="", "", 'Plant &amp; Fish Production'!O54)</f>
        <v/>
      </c>
      <c r="H62" s="496" t="str">
        <f t="shared" si="27"/>
        <v/>
      </c>
      <c r="I62" s="496" t="str">
        <f>IF('Plant &amp; Fish Production'!P54="", "", 'Plant &amp; Fish Production'!P54)</f>
        <v/>
      </c>
      <c r="J62" s="542"/>
      <c r="K62" s="543"/>
      <c r="L62" s="252" t="str">
        <f t="shared" si="28"/>
        <v/>
      </c>
      <c r="M62" s="544" t="str">
        <f t="shared" si="29"/>
        <v/>
      </c>
      <c r="N62" s="345" t="str">
        <f t="shared" si="30"/>
        <v/>
      </c>
      <c r="O62" s="346" t="str">
        <f t="shared" si="33"/>
        <v/>
      </c>
      <c r="P62" s="497"/>
      <c r="Q62" s="544" t="str">
        <f t="shared" si="31"/>
        <v/>
      </c>
      <c r="R62" s="545" t="str">
        <f t="shared" si="32"/>
        <v/>
      </c>
      <c r="U62" s="294"/>
      <c r="V62" s="294"/>
    </row>
    <row r="63" spans="1:30" ht="12.3">
      <c r="A63" s="539" t="str">
        <f>IF('Plant &amp; Fish Production'!F55="", "", 'Plant &amp; Fish Production'!F55)</f>
        <v/>
      </c>
      <c r="B63" s="497"/>
      <c r="C63" s="497"/>
      <c r="D63" s="346" t="str">
        <f t="shared" si="25"/>
        <v/>
      </c>
      <c r="E63" s="496" t="str">
        <f>'Plant &amp; Fish Production'!L55</f>
        <v/>
      </c>
      <c r="F63" s="346" t="str">
        <f t="shared" si="26"/>
        <v/>
      </c>
      <c r="G63" s="540" t="str">
        <f>IF('Plant &amp; Fish Production'!O55="", "", 'Plant &amp; Fish Production'!O55)</f>
        <v/>
      </c>
      <c r="H63" s="496" t="str">
        <f t="shared" si="27"/>
        <v/>
      </c>
      <c r="I63" s="496" t="str">
        <f>IF('Plant &amp; Fish Production'!P55="", "", 'Plant &amp; Fish Production'!P55)</f>
        <v/>
      </c>
      <c r="J63" s="542"/>
      <c r="K63" s="543"/>
      <c r="L63" s="252" t="str">
        <f t="shared" si="28"/>
        <v/>
      </c>
      <c r="M63" s="544" t="str">
        <f t="shared" si="29"/>
        <v/>
      </c>
      <c r="N63" s="345" t="str">
        <f t="shared" si="30"/>
        <v/>
      </c>
      <c r="O63" s="346" t="str">
        <f t="shared" si="33"/>
        <v/>
      </c>
      <c r="P63" s="497"/>
      <c r="Q63" s="544" t="str">
        <f t="shared" si="31"/>
        <v/>
      </c>
      <c r="R63" s="545" t="str">
        <f t="shared" si="32"/>
        <v/>
      </c>
      <c r="U63" s="294"/>
      <c r="V63" s="294"/>
    </row>
    <row r="64" spans="1:30" ht="12.3">
      <c r="A64" s="539" t="str">
        <f>IF('Plant &amp; Fish Production'!F56="", "", 'Plant &amp; Fish Production'!F56)</f>
        <v/>
      </c>
      <c r="B64" s="497"/>
      <c r="C64" s="497"/>
      <c r="D64" s="346" t="str">
        <f t="shared" si="25"/>
        <v/>
      </c>
      <c r="E64" s="496" t="str">
        <f>'Plant &amp; Fish Production'!L56</f>
        <v/>
      </c>
      <c r="F64" s="346" t="str">
        <f t="shared" si="26"/>
        <v/>
      </c>
      <c r="G64" s="540" t="str">
        <f>IF('Plant &amp; Fish Production'!O56="", "", 'Plant &amp; Fish Production'!O56)</f>
        <v/>
      </c>
      <c r="H64" s="496" t="str">
        <f t="shared" si="27"/>
        <v/>
      </c>
      <c r="I64" s="496" t="str">
        <f>IF('Plant &amp; Fish Production'!P56="", "", 'Plant &amp; Fish Production'!P56)</f>
        <v/>
      </c>
      <c r="J64" s="542"/>
      <c r="K64" s="543"/>
      <c r="L64" s="252" t="str">
        <f t="shared" si="28"/>
        <v/>
      </c>
      <c r="M64" s="544" t="str">
        <f t="shared" si="29"/>
        <v/>
      </c>
      <c r="N64" s="345" t="str">
        <f t="shared" si="30"/>
        <v/>
      </c>
      <c r="O64" s="346" t="str">
        <f t="shared" si="33"/>
        <v/>
      </c>
      <c r="P64" s="497"/>
      <c r="Q64" s="544" t="str">
        <f t="shared" si="31"/>
        <v/>
      </c>
      <c r="R64" s="545" t="str">
        <f t="shared" si="32"/>
        <v/>
      </c>
      <c r="U64" s="294"/>
      <c r="V64" s="294"/>
    </row>
    <row r="65" spans="1:30" ht="12.3">
      <c r="A65" s="539" t="str">
        <f>IF('Plant &amp; Fish Production'!F57="", "", 'Plant &amp; Fish Production'!F57)</f>
        <v/>
      </c>
      <c r="B65" s="497"/>
      <c r="C65" s="497"/>
      <c r="D65" s="346" t="str">
        <f t="shared" si="25"/>
        <v/>
      </c>
      <c r="E65" s="496" t="str">
        <f>'Plant &amp; Fish Production'!L57</f>
        <v/>
      </c>
      <c r="F65" s="346" t="str">
        <f t="shared" si="26"/>
        <v/>
      </c>
      <c r="G65" s="540" t="str">
        <f>IF('Plant &amp; Fish Production'!O57="", "", 'Plant &amp; Fish Production'!O57)</f>
        <v/>
      </c>
      <c r="H65" s="496" t="str">
        <f t="shared" si="27"/>
        <v/>
      </c>
      <c r="I65" s="496" t="str">
        <f>IF('Plant &amp; Fish Production'!P57="", "", 'Plant &amp; Fish Production'!P57)</f>
        <v/>
      </c>
      <c r="J65" s="542"/>
      <c r="K65" s="543"/>
      <c r="L65" s="252" t="str">
        <f t="shared" si="28"/>
        <v/>
      </c>
      <c r="M65" s="544" t="str">
        <f t="shared" si="29"/>
        <v/>
      </c>
      <c r="N65" s="345" t="str">
        <f t="shared" si="30"/>
        <v/>
      </c>
      <c r="O65" s="346" t="str">
        <f t="shared" si="33"/>
        <v/>
      </c>
      <c r="P65" s="497"/>
      <c r="Q65" s="544" t="str">
        <f t="shared" si="31"/>
        <v/>
      </c>
      <c r="R65" s="545" t="str">
        <f t="shared" si="32"/>
        <v/>
      </c>
      <c r="U65" s="294"/>
      <c r="V65" s="294"/>
    </row>
    <row r="66" spans="1:30" ht="12.3">
      <c r="A66" s="539" t="str">
        <f>IF('Plant &amp; Fish Production'!F58="", "", 'Plant &amp; Fish Production'!F58)</f>
        <v/>
      </c>
      <c r="B66" s="497"/>
      <c r="C66" s="497"/>
      <c r="D66" s="346" t="str">
        <f t="shared" si="25"/>
        <v/>
      </c>
      <c r="E66" s="496" t="str">
        <f>'Plant &amp; Fish Production'!L58</f>
        <v/>
      </c>
      <c r="F66" s="346" t="str">
        <f t="shared" si="26"/>
        <v/>
      </c>
      <c r="G66" s="540" t="str">
        <f>IF('Plant &amp; Fish Production'!O58="", "", 'Plant &amp; Fish Production'!O58)</f>
        <v/>
      </c>
      <c r="H66" s="496" t="str">
        <f t="shared" si="27"/>
        <v/>
      </c>
      <c r="I66" s="496" t="str">
        <f>IF('Plant &amp; Fish Production'!P58="", "", 'Plant &amp; Fish Production'!P58)</f>
        <v/>
      </c>
      <c r="J66" s="542"/>
      <c r="K66" s="543"/>
      <c r="L66" s="252" t="str">
        <f t="shared" si="28"/>
        <v/>
      </c>
      <c r="M66" s="544" t="str">
        <f t="shared" si="29"/>
        <v/>
      </c>
      <c r="N66" s="345" t="str">
        <f t="shared" si="30"/>
        <v/>
      </c>
      <c r="O66" s="346" t="str">
        <f t="shared" si="33"/>
        <v/>
      </c>
      <c r="P66" s="497"/>
      <c r="Q66" s="544" t="str">
        <f t="shared" si="31"/>
        <v/>
      </c>
      <c r="R66" s="545" t="str">
        <f t="shared" si="32"/>
        <v/>
      </c>
      <c r="U66" s="294"/>
      <c r="V66" s="294"/>
    </row>
    <row r="67" spans="1:30" ht="12.3">
      <c r="A67" s="539" t="str">
        <f>IF('Plant &amp; Fish Production'!F59="", "", 'Plant &amp; Fish Production'!F59)</f>
        <v/>
      </c>
      <c r="B67" s="497"/>
      <c r="C67" s="497"/>
      <c r="D67" s="346" t="str">
        <f t="shared" si="25"/>
        <v/>
      </c>
      <c r="E67" s="496" t="str">
        <f>'Plant &amp; Fish Production'!L59</f>
        <v/>
      </c>
      <c r="F67" s="346" t="str">
        <f t="shared" si="26"/>
        <v/>
      </c>
      <c r="G67" s="540" t="str">
        <f>IF('Plant &amp; Fish Production'!O59="", "", 'Plant &amp; Fish Production'!O59)</f>
        <v/>
      </c>
      <c r="H67" s="496" t="str">
        <f t="shared" si="27"/>
        <v/>
      </c>
      <c r="I67" s="496" t="str">
        <f>IF('Plant &amp; Fish Production'!P59="", "", 'Plant &amp; Fish Production'!P59)</f>
        <v/>
      </c>
      <c r="J67" s="542"/>
      <c r="K67" s="543"/>
      <c r="L67" s="252" t="str">
        <f t="shared" si="28"/>
        <v/>
      </c>
      <c r="M67" s="544" t="str">
        <f t="shared" si="29"/>
        <v/>
      </c>
      <c r="N67" s="345" t="str">
        <f t="shared" si="30"/>
        <v/>
      </c>
      <c r="O67" s="346" t="str">
        <f t="shared" si="33"/>
        <v/>
      </c>
      <c r="P67" s="497"/>
      <c r="Q67" s="544" t="str">
        <f t="shared" si="31"/>
        <v/>
      </c>
      <c r="R67" s="545" t="str">
        <f t="shared" si="32"/>
        <v/>
      </c>
      <c r="U67" s="294"/>
      <c r="V67" s="294"/>
    </row>
    <row r="68" spans="1:30" ht="12.3">
      <c r="A68" s="539" t="str">
        <f>IF('Plant &amp; Fish Production'!F60="", "", 'Plant &amp; Fish Production'!F60)</f>
        <v/>
      </c>
      <c r="B68" s="497"/>
      <c r="C68" s="497"/>
      <c r="D68" s="346" t="str">
        <f t="shared" si="25"/>
        <v/>
      </c>
      <c r="E68" s="496" t="str">
        <f>'Plant &amp; Fish Production'!L60</f>
        <v/>
      </c>
      <c r="F68" s="346" t="str">
        <f t="shared" si="26"/>
        <v/>
      </c>
      <c r="G68" s="540" t="str">
        <f>IF('Plant &amp; Fish Production'!O60="", "", 'Plant &amp; Fish Production'!O60)</f>
        <v/>
      </c>
      <c r="H68" s="496" t="str">
        <f t="shared" si="27"/>
        <v/>
      </c>
      <c r="I68" s="496" t="str">
        <f>IF('Plant &amp; Fish Production'!P60="", "", 'Plant &amp; Fish Production'!P60)</f>
        <v/>
      </c>
      <c r="J68" s="542"/>
      <c r="K68" s="543"/>
      <c r="L68" s="252" t="str">
        <f t="shared" si="28"/>
        <v/>
      </c>
      <c r="M68" s="544" t="str">
        <f t="shared" si="29"/>
        <v/>
      </c>
      <c r="N68" s="345" t="str">
        <f t="shared" si="30"/>
        <v/>
      </c>
      <c r="O68" s="346" t="str">
        <f t="shared" si="33"/>
        <v/>
      </c>
      <c r="P68" s="497"/>
      <c r="Q68" s="544" t="str">
        <f t="shared" si="31"/>
        <v/>
      </c>
      <c r="R68" s="545" t="str">
        <f t="shared" si="32"/>
        <v/>
      </c>
      <c r="U68" s="294"/>
      <c r="V68" s="294"/>
    </row>
    <row r="69" spans="1:30" ht="12.6" thickBot="1">
      <c r="A69" s="414" t="s">
        <v>443</v>
      </c>
      <c r="B69" s="567"/>
      <c r="C69" s="553"/>
      <c r="D69" s="553"/>
      <c r="E69" s="554">
        <f>SUM(E55:E68)</f>
        <v>0</v>
      </c>
      <c r="F69" s="555">
        <f>SUM(F55:F68)</f>
        <v>0</v>
      </c>
      <c r="G69" s="556"/>
      <c r="H69" s="554">
        <f>SUM(H55:H68)</f>
        <v>0</v>
      </c>
      <c r="I69" s="558">
        <f>SUM(I55:I68)</f>
        <v>0</v>
      </c>
      <c r="J69" s="557"/>
      <c r="K69" s="556"/>
      <c r="L69" s="556"/>
      <c r="M69" s="556"/>
      <c r="N69" s="559">
        <f>SUM(N55:N68)</f>
        <v>0</v>
      </c>
      <c r="O69" s="555">
        <f>SUM(O55:O68)</f>
        <v>0</v>
      </c>
      <c r="P69" s="556"/>
      <c r="Q69" s="555">
        <f>SUM(Q55:Q68)</f>
        <v>0</v>
      </c>
      <c r="R69" s="560">
        <f>SUM(R55:R68)</f>
        <v>0</v>
      </c>
      <c r="U69" s="294"/>
      <c r="V69" s="294"/>
    </row>
    <row r="70" spans="1:30" ht="12.3">
      <c r="I70" s="523"/>
      <c r="J70" s="523"/>
      <c r="K70" s="523"/>
      <c r="M70" s="327"/>
      <c r="N70" s="327"/>
      <c r="P70" s="524"/>
      <c r="Q70" s="524"/>
      <c r="R70" s="524"/>
      <c r="S70" s="524"/>
      <c r="U70" s="294"/>
      <c r="V70" s="294"/>
    </row>
    <row r="71" spans="1:30" ht="12.6" thickBot="1">
      <c r="A71" s="561" t="str">
        <f>'Plant &amp; Fish Production'!F63</f>
        <v xml:space="preserve">Media Beds - Winter Season </v>
      </c>
      <c r="B71" s="562"/>
      <c r="C71" s="562"/>
      <c r="D71" s="562"/>
      <c r="E71" s="562"/>
      <c r="F71" s="562"/>
      <c r="G71" s="562"/>
      <c r="H71" s="562"/>
      <c r="I71" s="562"/>
      <c r="J71" s="563"/>
      <c r="K71" s="564"/>
      <c r="L71" s="564"/>
      <c r="M71" s="562"/>
      <c r="N71" s="562"/>
      <c r="O71" s="562"/>
      <c r="P71" s="562"/>
      <c r="Q71" s="562"/>
      <c r="R71" s="562"/>
      <c r="U71" s="294"/>
      <c r="V71" s="294"/>
    </row>
    <row r="72" spans="1:30" ht="21">
      <c r="A72" s="530" t="s">
        <v>252</v>
      </c>
      <c r="B72" s="531" t="s">
        <v>514</v>
      </c>
      <c r="C72" s="531" t="s">
        <v>515</v>
      </c>
      <c r="D72" s="532" t="s">
        <v>516</v>
      </c>
      <c r="E72" s="533" t="s">
        <v>555</v>
      </c>
      <c r="F72" s="533" t="s">
        <v>556</v>
      </c>
      <c r="G72" s="533" t="s">
        <v>446</v>
      </c>
      <c r="H72" s="533" t="s">
        <v>557</v>
      </c>
      <c r="I72" s="534" t="str">
        <f>IF('Please Read First'!$C$11="metric", "Total harvest weight in kg", "Total harvest weight in lbs")</f>
        <v>Total harvest weight in lbs</v>
      </c>
      <c r="J72" s="535" t="s">
        <v>521</v>
      </c>
      <c r="K72" s="535" t="s">
        <v>522</v>
      </c>
      <c r="L72" s="534" t="s">
        <v>523</v>
      </c>
      <c r="M72" s="534" t="s">
        <v>524</v>
      </c>
      <c r="N72" s="534" t="s">
        <v>525</v>
      </c>
      <c r="O72" s="534" t="s">
        <v>526</v>
      </c>
      <c r="P72" s="536" t="s">
        <v>527</v>
      </c>
      <c r="Q72" s="536" t="s">
        <v>559</v>
      </c>
      <c r="R72" s="537" t="s">
        <v>543</v>
      </c>
      <c r="U72" s="294"/>
      <c r="V72" s="294"/>
      <c r="W72" s="538"/>
      <c r="X72" s="538"/>
      <c r="Y72" s="46"/>
      <c r="Z72" s="46"/>
      <c r="AA72" s="46"/>
      <c r="AB72" s="46"/>
      <c r="AC72" s="46"/>
      <c r="AD72" s="46"/>
    </row>
    <row r="73" spans="1:30" ht="12.3">
      <c r="A73" s="539" t="str">
        <f>IF('Plant &amp; Fish Production'!F65="", "", 'Plant &amp; Fish Production'!F65)</f>
        <v/>
      </c>
      <c r="B73" s="497"/>
      <c r="C73" s="497"/>
      <c r="D73" s="346" t="str">
        <f t="shared" ref="D73:D86" si="34">IF(B73="","",IF(C73="","",C73+B73))</f>
        <v/>
      </c>
      <c r="E73" s="496" t="str">
        <f>'Plant &amp; Fish Production'!L65</f>
        <v/>
      </c>
      <c r="F73" s="346" t="str">
        <f t="shared" ref="F73:F86" si="35">IF(D73="","",IF(E73="","",D73*E73))</f>
        <v/>
      </c>
      <c r="G73" s="540" t="str">
        <f>IF('Plant &amp; Fish Production'!O65="", "", 'Plant &amp; Fish Production'!O65)</f>
        <v/>
      </c>
      <c r="H73" s="496" t="str">
        <f t="shared" ref="H73:H86" si="36">IF(G73="","",IF(E73="","",E73*(1-G73)))</f>
        <v/>
      </c>
      <c r="I73" s="496" t="str">
        <f>IF('Plant &amp; Fish Production'!P65="", "", 'Plant &amp; Fish Production'!P65)</f>
        <v/>
      </c>
      <c r="J73" s="542"/>
      <c r="K73" s="543"/>
      <c r="L73" s="252" t="str">
        <f t="shared" ref="L73:L86" si="37">IF(K73="","", IF(K73=$M$3,$N$3,IF(K73=$M$4,$N$4,IF(K73=$M$5,$N$5,IF(K73=$M$6,$N$6,IF(K73=$M$7,$N$7,IF(K73=$M$8,$N$8,IF(K73=$M$9,$N$9,IF(K73=$M$10,$N$10,IF(K73=$M$11,$N$11))))))))))</f>
        <v/>
      </c>
      <c r="M73" s="544" t="str">
        <f>IF(J73="","",IF(D73="","",IF(H73=0,0,IF(J73=$L$4,D73*24+L73,IF(J73=$L$3,D73*12+L73,IF(J73=$L$5,D73+L73,IF(J73=$L$6,D73*H73/I73+L73,IF(J73=$L$7,D73*3+L73,IF(J73=$L$8,D73*6+L73)))))))))</f>
        <v/>
      </c>
      <c r="N73" s="345" t="str">
        <f>IF(H73="","",IF(J73=$L$4,H73/24,IF(J73=$L$3,H73/12,IF(J73=$L$5,H73,IF(J73=$L$6,I73,IF(J73=$L$7,H73/3,IF(J73=$L$8,H73/6,"")))))))</f>
        <v/>
      </c>
      <c r="O73" s="346" t="str">
        <f t="shared" ref="O73:O86" si="38">IF(N73="", "", L73*N73)</f>
        <v/>
      </c>
      <c r="P73" s="497"/>
      <c r="Q73" s="544" t="str">
        <f t="shared" ref="Q73:Q86" si="39">IF(N73="", "", P73*N73)</f>
        <v/>
      </c>
      <c r="R73" s="545" t="str">
        <f t="shared" ref="R73:R86" si="40">IF(Q73="", "", Q73/6)</f>
        <v/>
      </c>
      <c r="U73" s="565"/>
      <c r="V73" s="565"/>
    </row>
    <row r="74" spans="1:30" ht="12.3">
      <c r="A74" s="539" t="str">
        <f>IF('Plant &amp; Fish Production'!F66="", "", 'Plant &amp; Fish Production'!F66)</f>
        <v/>
      </c>
      <c r="B74" s="497"/>
      <c r="C74" s="497"/>
      <c r="D74" s="346" t="str">
        <f t="shared" si="34"/>
        <v/>
      </c>
      <c r="E74" s="496" t="str">
        <f>'Plant &amp; Fish Production'!L66</f>
        <v/>
      </c>
      <c r="F74" s="346" t="str">
        <f t="shared" si="35"/>
        <v/>
      </c>
      <c r="G74" s="540" t="str">
        <f>IF('Plant &amp; Fish Production'!O66="", "", 'Plant &amp; Fish Production'!O66)</f>
        <v/>
      </c>
      <c r="H74" s="496" t="str">
        <f t="shared" si="36"/>
        <v/>
      </c>
      <c r="I74" s="496" t="str">
        <f>IF('Plant &amp; Fish Production'!P66="", "", 'Plant &amp; Fish Production'!P66)</f>
        <v/>
      </c>
      <c r="J74" s="573"/>
      <c r="K74" s="543"/>
      <c r="L74" s="252" t="str">
        <f t="shared" si="37"/>
        <v/>
      </c>
      <c r="M74" s="544" t="str">
        <f>IF(J74="","",IF(D74="","",IF(H74=0,0,IF(J74=$L$4,D74*24+L74,IF(J74=$L$3,D74*12+L74,IF(J74=$L$5,D74+L74,IF(J74=$L$6,D74*H74/I74+L74,IF(J74=$L$7,D74*3+L74,IF(J74=$L$8,D74*6+L74)))))))))</f>
        <v/>
      </c>
      <c r="N74" s="345" t="str">
        <f>IF(H74="","",IF(J74=$L$4,H74/24,IF(J74=$L$3,H74/12,IF(J74=$L$5,H74,IF(J74=$L$6,I74,IF(J74=$L$7,H74/3,IF(J74=$L$8,H74/6,"")))))))</f>
        <v/>
      </c>
      <c r="O74" s="346" t="str">
        <f t="shared" si="38"/>
        <v/>
      </c>
      <c r="P74" s="497"/>
      <c r="Q74" s="544" t="str">
        <f t="shared" si="39"/>
        <v/>
      </c>
      <c r="R74" s="545" t="str">
        <f t="shared" si="40"/>
        <v/>
      </c>
      <c r="U74" s="294"/>
      <c r="V74" s="294"/>
    </row>
    <row r="75" spans="1:30" ht="12.3">
      <c r="A75" s="539" t="str">
        <f>IF('Plant &amp; Fish Production'!F67="", "", 'Plant &amp; Fish Production'!F67)</f>
        <v/>
      </c>
      <c r="B75" s="497"/>
      <c r="C75" s="497"/>
      <c r="D75" s="346" t="str">
        <f t="shared" si="34"/>
        <v/>
      </c>
      <c r="E75" s="496" t="str">
        <f>'Plant &amp; Fish Production'!L67</f>
        <v/>
      </c>
      <c r="F75" s="346" t="str">
        <f t="shared" si="35"/>
        <v/>
      </c>
      <c r="G75" s="540" t="str">
        <f>IF('Plant &amp; Fish Production'!O67="", "", 'Plant &amp; Fish Production'!O67)</f>
        <v/>
      </c>
      <c r="H75" s="496" t="str">
        <f t="shared" si="36"/>
        <v/>
      </c>
      <c r="I75" s="496" t="str">
        <f>IF('Plant &amp; Fish Production'!P67="", "", 'Plant &amp; Fish Production'!P67)</f>
        <v/>
      </c>
      <c r="J75" s="542"/>
      <c r="K75" s="543"/>
      <c r="L75" s="252" t="str">
        <f t="shared" si="37"/>
        <v/>
      </c>
      <c r="M75" s="544" t="str">
        <f>IF(J75="","",IF(D75="","",IF(H75=0,0,IF(J75=$L$4,D75*24+L75,IF(J75=$L$3,D75*12+L75,IF(J75=$L$5,D75+L75,IF(J75=$L$6,D75*H75/I75+L75,IF(J75=$L$7,D75*3+L75,IF(J75=$L$8,D75*6+L75)))))))))</f>
        <v/>
      </c>
      <c r="N75" s="345" t="str">
        <f>IF(H75="","",IF(J75=$L$4,H75/24,IF(J75=$L$3,H75/12,IF(J75=$L$5,H75,IF(J75=$L$6,I75,IF(J75=$L$7,H75/3,IF(J75=$L$8,H75/6,"")))))))</f>
        <v/>
      </c>
      <c r="O75" s="346" t="str">
        <f t="shared" si="38"/>
        <v/>
      </c>
      <c r="P75" s="497"/>
      <c r="Q75" s="544" t="str">
        <f t="shared" si="39"/>
        <v/>
      </c>
      <c r="R75" s="545" t="str">
        <f t="shared" si="40"/>
        <v/>
      </c>
      <c r="U75" s="294"/>
      <c r="V75" s="294"/>
    </row>
    <row r="76" spans="1:30" ht="12.3">
      <c r="A76" s="539" t="str">
        <f>IF('Plant &amp; Fish Production'!F68="", "", 'Plant &amp; Fish Production'!F68)</f>
        <v/>
      </c>
      <c r="B76" s="497"/>
      <c r="C76" s="497"/>
      <c r="D76" s="346" t="str">
        <f t="shared" si="34"/>
        <v/>
      </c>
      <c r="E76" s="496" t="str">
        <f>'Plant &amp; Fish Production'!L68</f>
        <v/>
      </c>
      <c r="F76" s="346" t="str">
        <f t="shared" si="35"/>
        <v/>
      </c>
      <c r="G76" s="540" t="str">
        <f>IF('Plant &amp; Fish Production'!O68="", "", 'Plant &amp; Fish Production'!O68)</f>
        <v/>
      </c>
      <c r="H76" s="496" t="str">
        <f t="shared" si="36"/>
        <v/>
      </c>
      <c r="I76" s="496" t="str">
        <f>IF('Plant &amp; Fish Production'!P68="", "", 'Plant &amp; Fish Production'!P68)</f>
        <v/>
      </c>
      <c r="J76" s="542"/>
      <c r="K76" s="543"/>
      <c r="L76" s="252" t="str">
        <f t="shared" si="37"/>
        <v/>
      </c>
      <c r="M76" s="544" t="str">
        <f t="shared" ref="M76:M86" si="41">IF(J76="","",IF(D76="","",IF(H76=0,0,IF(J76=$L$4,D76*24+L76,IF(J76=$L$3,D76*12+L76,IF(J76=$L$5,D76+L76,IF(J76=$L$6,D76*H76/I76+L76,IF(J76=$L$7,D76*3+L76,IF(J76=$L$8,D76*6+L76)))))))))</f>
        <v/>
      </c>
      <c r="N76" s="345" t="str">
        <f t="shared" ref="N76:N86" si="42">IF(H76="","",IF(J76=$L$4,H76/24,IF(J76=$L$3,H76/12,IF(J76=$L$5,H76,IF(J76=$L$6,I76,IF(J76=$L$7,H76/3,IF(J76=$L$8,H76/6,"")))))))</f>
        <v/>
      </c>
      <c r="O76" s="346" t="str">
        <f t="shared" si="38"/>
        <v/>
      </c>
      <c r="P76" s="497"/>
      <c r="Q76" s="544" t="str">
        <f t="shared" si="39"/>
        <v/>
      </c>
      <c r="R76" s="545" t="str">
        <f t="shared" si="40"/>
        <v/>
      </c>
      <c r="U76" s="294"/>
      <c r="V76" s="294"/>
    </row>
    <row r="77" spans="1:30" ht="12.3">
      <c r="A77" s="539" t="str">
        <f>IF('Plant &amp; Fish Production'!F69="", "", 'Plant &amp; Fish Production'!F69)</f>
        <v/>
      </c>
      <c r="B77" s="497"/>
      <c r="C77" s="497"/>
      <c r="D77" s="346" t="str">
        <f t="shared" si="34"/>
        <v/>
      </c>
      <c r="E77" s="496" t="str">
        <f>'Plant &amp; Fish Production'!L69</f>
        <v/>
      </c>
      <c r="F77" s="346" t="str">
        <f t="shared" si="35"/>
        <v/>
      </c>
      <c r="G77" s="540" t="str">
        <f>IF('Plant &amp; Fish Production'!O69="", "", 'Plant &amp; Fish Production'!O69)</f>
        <v/>
      </c>
      <c r="H77" s="496" t="str">
        <f t="shared" si="36"/>
        <v/>
      </c>
      <c r="I77" s="496" t="str">
        <f>IF('Plant &amp; Fish Production'!P69="", "", 'Plant &amp; Fish Production'!P69)</f>
        <v/>
      </c>
      <c r="J77" s="542"/>
      <c r="K77" s="543"/>
      <c r="L77" s="252" t="str">
        <f t="shared" si="37"/>
        <v/>
      </c>
      <c r="M77" s="544" t="str">
        <f t="shared" si="41"/>
        <v/>
      </c>
      <c r="N77" s="345" t="str">
        <f t="shared" si="42"/>
        <v/>
      </c>
      <c r="O77" s="346" t="str">
        <f t="shared" si="38"/>
        <v/>
      </c>
      <c r="P77" s="497"/>
      <c r="Q77" s="544" t="str">
        <f t="shared" si="39"/>
        <v/>
      </c>
      <c r="R77" s="545" t="str">
        <f t="shared" si="40"/>
        <v/>
      </c>
      <c r="U77" s="294"/>
      <c r="V77" s="294"/>
    </row>
    <row r="78" spans="1:30" ht="12.3">
      <c r="A78" s="539" t="str">
        <f>IF('Plant &amp; Fish Production'!F70="", "", 'Plant &amp; Fish Production'!F70)</f>
        <v/>
      </c>
      <c r="B78" s="497"/>
      <c r="C78" s="497"/>
      <c r="D78" s="346" t="str">
        <f t="shared" si="34"/>
        <v/>
      </c>
      <c r="E78" s="496" t="str">
        <f>'Plant &amp; Fish Production'!L70</f>
        <v/>
      </c>
      <c r="F78" s="346" t="str">
        <f t="shared" si="35"/>
        <v/>
      </c>
      <c r="G78" s="540" t="str">
        <f>IF('Plant &amp; Fish Production'!O70="", "", 'Plant &amp; Fish Production'!O70)</f>
        <v/>
      </c>
      <c r="H78" s="496" t="str">
        <f t="shared" si="36"/>
        <v/>
      </c>
      <c r="I78" s="496" t="str">
        <f>IF('Plant &amp; Fish Production'!P70="", "", 'Plant &amp; Fish Production'!P70)</f>
        <v/>
      </c>
      <c r="J78" s="542"/>
      <c r="K78" s="543"/>
      <c r="L78" s="252" t="str">
        <f t="shared" si="37"/>
        <v/>
      </c>
      <c r="M78" s="544" t="str">
        <f t="shared" si="41"/>
        <v/>
      </c>
      <c r="N78" s="345" t="str">
        <f t="shared" si="42"/>
        <v/>
      </c>
      <c r="O78" s="346" t="str">
        <f t="shared" si="38"/>
        <v/>
      </c>
      <c r="P78" s="497"/>
      <c r="Q78" s="544" t="str">
        <f t="shared" si="39"/>
        <v/>
      </c>
      <c r="R78" s="545" t="str">
        <f t="shared" si="40"/>
        <v/>
      </c>
      <c r="U78" s="294"/>
      <c r="V78" s="294"/>
    </row>
    <row r="79" spans="1:30" ht="12.3">
      <c r="A79" s="539" t="str">
        <f>IF('Plant &amp; Fish Production'!F71="", "", 'Plant &amp; Fish Production'!F71)</f>
        <v/>
      </c>
      <c r="B79" s="497"/>
      <c r="C79" s="497"/>
      <c r="D79" s="346" t="str">
        <f t="shared" si="34"/>
        <v/>
      </c>
      <c r="E79" s="496" t="str">
        <f>'Plant &amp; Fish Production'!L71</f>
        <v/>
      </c>
      <c r="F79" s="346" t="str">
        <f t="shared" si="35"/>
        <v/>
      </c>
      <c r="G79" s="540" t="str">
        <f>IF('Plant &amp; Fish Production'!O71="", "", 'Plant &amp; Fish Production'!O71)</f>
        <v/>
      </c>
      <c r="H79" s="496" t="str">
        <f t="shared" si="36"/>
        <v/>
      </c>
      <c r="I79" s="496" t="str">
        <f>IF('Plant &amp; Fish Production'!P71="", "", 'Plant &amp; Fish Production'!P71)</f>
        <v/>
      </c>
      <c r="J79" s="542"/>
      <c r="K79" s="543"/>
      <c r="L79" s="252" t="str">
        <f t="shared" si="37"/>
        <v/>
      </c>
      <c r="M79" s="544" t="str">
        <f t="shared" si="41"/>
        <v/>
      </c>
      <c r="N79" s="345" t="str">
        <f t="shared" si="42"/>
        <v/>
      </c>
      <c r="O79" s="346" t="str">
        <f t="shared" si="38"/>
        <v/>
      </c>
      <c r="P79" s="497"/>
      <c r="Q79" s="544" t="str">
        <f t="shared" si="39"/>
        <v/>
      </c>
      <c r="R79" s="545" t="str">
        <f t="shared" si="40"/>
        <v/>
      </c>
      <c r="U79" s="294"/>
      <c r="V79" s="294"/>
    </row>
    <row r="80" spans="1:30" ht="12.3">
      <c r="A80" s="539" t="str">
        <f>IF('Plant &amp; Fish Production'!F72="", "", 'Plant &amp; Fish Production'!F72)</f>
        <v/>
      </c>
      <c r="B80" s="497"/>
      <c r="C80" s="497"/>
      <c r="D80" s="346" t="str">
        <f t="shared" si="34"/>
        <v/>
      </c>
      <c r="E80" s="496" t="str">
        <f>'Plant &amp; Fish Production'!L72</f>
        <v/>
      </c>
      <c r="F80" s="346" t="str">
        <f t="shared" si="35"/>
        <v/>
      </c>
      <c r="G80" s="540" t="str">
        <f>IF('Plant &amp; Fish Production'!O72="", "", 'Plant &amp; Fish Production'!O72)</f>
        <v/>
      </c>
      <c r="H80" s="496" t="str">
        <f t="shared" si="36"/>
        <v/>
      </c>
      <c r="I80" s="496" t="str">
        <f>IF('Plant &amp; Fish Production'!P72="", "", 'Plant &amp; Fish Production'!P72)</f>
        <v/>
      </c>
      <c r="J80" s="542"/>
      <c r="K80" s="543"/>
      <c r="L80" s="252" t="str">
        <f t="shared" si="37"/>
        <v/>
      </c>
      <c r="M80" s="544" t="str">
        <f t="shared" si="41"/>
        <v/>
      </c>
      <c r="N80" s="345" t="str">
        <f t="shared" si="42"/>
        <v/>
      </c>
      <c r="O80" s="346" t="str">
        <f t="shared" si="38"/>
        <v/>
      </c>
      <c r="P80" s="497"/>
      <c r="Q80" s="544" t="str">
        <f t="shared" si="39"/>
        <v/>
      </c>
      <c r="R80" s="545" t="str">
        <f t="shared" si="40"/>
        <v/>
      </c>
      <c r="U80" s="294"/>
      <c r="V80" s="294"/>
    </row>
    <row r="81" spans="1:30" ht="12.3">
      <c r="A81" s="539" t="str">
        <f>IF('Plant &amp; Fish Production'!F73="", "", 'Plant &amp; Fish Production'!F73)</f>
        <v/>
      </c>
      <c r="B81" s="497"/>
      <c r="C81" s="497"/>
      <c r="D81" s="346" t="str">
        <f t="shared" si="34"/>
        <v/>
      </c>
      <c r="E81" s="496" t="str">
        <f>'Plant &amp; Fish Production'!L73</f>
        <v/>
      </c>
      <c r="F81" s="346" t="str">
        <f t="shared" si="35"/>
        <v/>
      </c>
      <c r="G81" s="540" t="str">
        <f>IF('Plant &amp; Fish Production'!O73="", "", 'Plant &amp; Fish Production'!O73)</f>
        <v/>
      </c>
      <c r="H81" s="496" t="str">
        <f t="shared" si="36"/>
        <v/>
      </c>
      <c r="I81" s="496" t="str">
        <f>IF('Plant &amp; Fish Production'!P73="", "", 'Plant &amp; Fish Production'!P73)</f>
        <v/>
      </c>
      <c r="J81" s="542"/>
      <c r="K81" s="543"/>
      <c r="L81" s="252" t="str">
        <f t="shared" si="37"/>
        <v/>
      </c>
      <c r="M81" s="544" t="str">
        <f t="shared" si="41"/>
        <v/>
      </c>
      <c r="N81" s="345" t="str">
        <f t="shared" si="42"/>
        <v/>
      </c>
      <c r="O81" s="346" t="str">
        <f t="shared" si="38"/>
        <v/>
      </c>
      <c r="P81" s="497"/>
      <c r="Q81" s="544" t="str">
        <f t="shared" si="39"/>
        <v/>
      </c>
      <c r="R81" s="545" t="str">
        <f t="shared" si="40"/>
        <v/>
      </c>
      <c r="U81" s="294"/>
      <c r="V81" s="294"/>
    </row>
    <row r="82" spans="1:30" ht="12.3">
      <c r="A82" s="539" t="str">
        <f>IF('Plant &amp; Fish Production'!F74="", "", 'Plant &amp; Fish Production'!F74)</f>
        <v/>
      </c>
      <c r="B82" s="497"/>
      <c r="C82" s="497"/>
      <c r="D82" s="346" t="str">
        <f t="shared" si="34"/>
        <v/>
      </c>
      <c r="E82" s="496" t="str">
        <f>'Plant &amp; Fish Production'!L74</f>
        <v/>
      </c>
      <c r="F82" s="346" t="str">
        <f t="shared" si="35"/>
        <v/>
      </c>
      <c r="G82" s="540" t="str">
        <f>IF('Plant &amp; Fish Production'!O74="", "", 'Plant &amp; Fish Production'!O74)</f>
        <v/>
      </c>
      <c r="H82" s="496" t="str">
        <f t="shared" si="36"/>
        <v/>
      </c>
      <c r="I82" s="496" t="str">
        <f>IF('Plant &amp; Fish Production'!P74="", "", 'Plant &amp; Fish Production'!P74)</f>
        <v/>
      </c>
      <c r="J82" s="542"/>
      <c r="K82" s="543"/>
      <c r="L82" s="252" t="str">
        <f t="shared" si="37"/>
        <v/>
      </c>
      <c r="M82" s="544" t="str">
        <f t="shared" si="41"/>
        <v/>
      </c>
      <c r="N82" s="345" t="str">
        <f t="shared" si="42"/>
        <v/>
      </c>
      <c r="O82" s="346" t="str">
        <f t="shared" si="38"/>
        <v/>
      </c>
      <c r="P82" s="497"/>
      <c r="Q82" s="544" t="str">
        <f t="shared" si="39"/>
        <v/>
      </c>
      <c r="R82" s="545" t="str">
        <f t="shared" si="40"/>
        <v/>
      </c>
      <c r="U82" s="294"/>
      <c r="V82" s="294"/>
    </row>
    <row r="83" spans="1:30" ht="12.3">
      <c r="A83" s="539" t="str">
        <f>IF('Plant &amp; Fish Production'!F75="", "", 'Plant &amp; Fish Production'!F75)</f>
        <v/>
      </c>
      <c r="B83" s="497"/>
      <c r="C83" s="497"/>
      <c r="D83" s="346" t="str">
        <f t="shared" si="34"/>
        <v/>
      </c>
      <c r="E83" s="496" t="str">
        <f>'Plant &amp; Fish Production'!L75</f>
        <v/>
      </c>
      <c r="F83" s="346" t="str">
        <f t="shared" si="35"/>
        <v/>
      </c>
      <c r="G83" s="540" t="str">
        <f>IF('Plant &amp; Fish Production'!O75="", "", 'Plant &amp; Fish Production'!O75)</f>
        <v/>
      </c>
      <c r="H83" s="496" t="str">
        <f t="shared" si="36"/>
        <v/>
      </c>
      <c r="I83" s="496" t="str">
        <f>IF('Plant &amp; Fish Production'!P75="", "", 'Plant &amp; Fish Production'!P75)</f>
        <v/>
      </c>
      <c r="J83" s="542"/>
      <c r="K83" s="543"/>
      <c r="L83" s="252" t="str">
        <f t="shared" si="37"/>
        <v/>
      </c>
      <c r="M83" s="544" t="str">
        <f t="shared" si="41"/>
        <v/>
      </c>
      <c r="N83" s="345" t="str">
        <f t="shared" si="42"/>
        <v/>
      </c>
      <c r="O83" s="346" t="str">
        <f t="shared" si="38"/>
        <v/>
      </c>
      <c r="P83" s="497"/>
      <c r="Q83" s="544" t="str">
        <f t="shared" si="39"/>
        <v/>
      </c>
      <c r="R83" s="545" t="str">
        <f t="shared" si="40"/>
        <v/>
      </c>
      <c r="U83" s="294"/>
      <c r="V83" s="294"/>
    </row>
    <row r="84" spans="1:30" ht="12.3">
      <c r="A84" s="539" t="str">
        <f>IF('Plant &amp; Fish Production'!F76="", "", 'Plant &amp; Fish Production'!F76)</f>
        <v/>
      </c>
      <c r="B84" s="497"/>
      <c r="C84" s="497"/>
      <c r="D84" s="346" t="str">
        <f t="shared" si="34"/>
        <v/>
      </c>
      <c r="E84" s="496" t="str">
        <f>'Plant &amp; Fish Production'!L76</f>
        <v/>
      </c>
      <c r="F84" s="346" t="str">
        <f t="shared" si="35"/>
        <v/>
      </c>
      <c r="G84" s="540" t="str">
        <f>IF('Plant &amp; Fish Production'!O76="", "", 'Plant &amp; Fish Production'!O76)</f>
        <v/>
      </c>
      <c r="H84" s="496" t="str">
        <f t="shared" si="36"/>
        <v/>
      </c>
      <c r="I84" s="496" t="str">
        <f>IF('Plant &amp; Fish Production'!P76="", "", 'Plant &amp; Fish Production'!P76)</f>
        <v/>
      </c>
      <c r="J84" s="542"/>
      <c r="K84" s="543"/>
      <c r="L84" s="252" t="str">
        <f t="shared" si="37"/>
        <v/>
      </c>
      <c r="M84" s="544" t="str">
        <f t="shared" si="41"/>
        <v/>
      </c>
      <c r="N84" s="345" t="str">
        <f t="shared" si="42"/>
        <v/>
      </c>
      <c r="O84" s="346" t="str">
        <f t="shared" si="38"/>
        <v/>
      </c>
      <c r="P84" s="497"/>
      <c r="Q84" s="544" t="str">
        <f t="shared" si="39"/>
        <v/>
      </c>
      <c r="R84" s="545" t="str">
        <f t="shared" si="40"/>
        <v/>
      </c>
      <c r="U84" s="294"/>
      <c r="V84" s="294"/>
    </row>
    <row r="85" spans="1:30" ht="12.3">
      <c r="A85" s="539" t="str">
        <f>IF('Plant &amp; Fish Production'!F77="", "", 'Plant &amp; Fish Production'!F77)</f>
        <v/>
      </c>
      <c r="B85" s="497"/>
      <c r="C85" s="497"/>
      <c r="D85" s="346" t="str">
        <f t="shared" si="34"/>
        <v/>
      </c>
      <c r="E85" s="496" t="str">
        <f>'Plant &amp; Fish Production'!L77</f>
        <v/>
      </c>
      <c r="F85" s="346" t="str">
        <f t="shared" si="35"/>
        <v/>
      </c>
      <c r="G85" s="540" t="str">
        <f>IF('Plant &amp; Fish Production'!O77="", "", 'Plant &amp; Fish Production'!O77)</f>
        <v/>
      </c>
      <c r="H85" s="496" t="str">
        <f t="shared" si="36"/>
        <v/>
      </c>
      <c r="I85" s="496" t="str">
        <f>IF('Plant &amp; Fish Production'!P77="", "", 'Plant &amp; Fish Production'!P77)</f>
        <v/>
      </c>
      <c r="J85" s="542"/>
      <c r="K85" s="543"/>
      <c r="L85" s="252" t="str">
        <f t="shared" si="37"/>
        <v/>
      </c>
      <c r="M85" s="544" t="str">
        <f t="shared" si="41"/>
        <v/>
      </c>
      <c r="N85" s="345" t="str">
        <f t="shared" si="42"/>
        <v/>
      </c>
      <c r="O85" s="346" t="str">
        <f t="shared" si="38"/>
        <v/>
      </c>
      <c r="P85" s="497"/>
      <c r="Q85" s="544" t="str">
        <f t="shared" si="39"/>
        <v/>
      </c>
      <c r="R85" s="545" t="str">
        <f t="shared" si="40"/>
        <v/>
      </c>
      <c r="U85" s="294"/>
      <c r="V85" s="294"/>
    </row>
    <row r="86" spans="1:30" ht="12.3">
      <c r="A86" s="539" t="str">
        <f>IF('Plant &amp; Fish Production'!F78="", "", 'Plant &amp; Fish Production'!F78)</f>
        <v/>
      </c>
      <c r="B86" s="497"/>
      <c r="C86" s="497"/>
      <c r="D86" s="346" t="str">
        <f t="shared" si="34"/>
        <v/>
      </c>
      <c r="E86" s="496" t="str">
        <f>'Plant &amp; Fish Production'!L78</f>
        <v/>
      </c>
      <c r="F86" s="346" t="str">
        <f t="shared" si="35"/>
        <v/>
      </c>
      <c r="G86" s="540" t="str">
        <f>IF('Plant &amp; Fish Production'!O78="", "", 'Plant &amp; Fish Production'!O78)</f>
        <v/>
      </c>
      <c r="H86" s="496" t="str">
        <f t="shared" si="36"/>
        <v/>
      </c>
      <c r="I86" s="496" t="str">
        <f>IF('Plant &amp; Fish Production'!P78="", "", 'Plant &amp; Fish Production'!P78)</f>
        <v/>
      </c>
      <c r="J86" s="542"/>
      <c r="K86" s="543"/>
      <c r="L86" s="252" t="str">
        <f t="shared" si="37"/>
        <v/>
      </c>
      <c r="M86" s="544" t="str">
        <f t="shared" si="41"/>
        <v/>
      </c>
      <c r="N86" s="345" t="str">
        <f t="shared" si="42"/>
        <v/>
      </c>
      <c r="O86" s="346" t="str">
        <f t="shared" si="38"/>
        <v/>
      </c>
      <c r="P86" s="497"/>
      <c r="Q86" s="544" t="str">
        <f t="shared" si="39"/>
        <v/>
      </c>
      <c r="R86" s="545" t="str">
        <f t="shared" si="40"/>
        <v/>
      </c>
      <c r="U86" s="294"/>
      <c r="V86" s="294"/>
    </row>
    <row r="87" spans="1:30" ht="12.6" thickBot="1">
      <c r="A87" s="414" t="s">
        <v>443</v>
      </c>
      <c r="B87" s="552"/>
      <c r="C87" s="553"/>
      <c r="D87" s="553"/>
      <c r="E87" s="554">
        <f>SUM(E73:E86)</f>
        <v>0</v>
      </c>
      <c r="F87" s="555">
        <f>SUM(F73:F86)</f>
        <v>0</v>
      </c>
      <c r="G87" s="556"/>
      <c r="H87" s="554">
        <f>SUM(H73:H86)</f>
        <v>0</v>
      </c>
      <c r="I87" s="558">
        <f>SUM(I73:I86)</f>
        <v>0</v>
      </c>
      <c r="J87" s="557"/>
      <c r="K87" s="556"/>
      <c r="L87" s="556"/>
      <c r="M87" s="556"/>
      <c r="N87" s="559">
        <f>SUM(N73:N86)</f>
        <v>0</v>
      </c>
      <c r="O87" s="555">
        <f>SUM(O73:O86)</f>
        <v>0</v>
      </c>
      <c r="P87" s="556"/>
      <c r="Q87" s="555">
        <f>SUM(Q73:Q86)</f>
        <v>0</v>
      </c>
      <c r="R87" s="560">
        <f>SUM(R73:R86)</f>
        <v>0</v>
      </c>
      <c r="U87" s="294"/>
      <c r="V87" s="294"/>
    </row>
    <row r="88" spans="1:30" ht="22.5">
      <c r="A88" s="509"/>
      <c r="E88" s="523"/>
      <c r="G88" s="524"/>
      <c r="H88" s="524"/>
      <c r="I88" s="524"/>
      <c r="J88" s="524"/>
      <c r="K88" s="568"/>
      <c r="M88" s="524"/>
      <c r="U88" s="294"/>
      <c r="V88" s="294"/>
    </row>
    <row r="89" spans="1:30" ht="6.75" customHeight="1">
      <c r="A89" s="569"/>
      <c r="B89" s="569"/>
      <c r="C89" s="569"/>
      <c r="D89" s="569"/>
      <c r="E89" s="570"/>
      <c r="F89" s="569"/>
      <c r="G89" s="571"/>
      <c r="H89" s="571"/>
      <c r="I89" s="571"/>
      <c r="J89" s="571"/>
      <c r="K89" s="572"/>
      <c r="L89" s="569"/>
      <c r="M89" s="571"/>
      <c r="N89" s="569"/>
      <c r="O89" s="569"/>
      <c r="P89" s="569"/>
      <c r="Q89" s="569"/>
      <c r="R89" s="569"/>
      <c r="S89" s="569"/>
      <c r="U89" s="294"/>
      <c r="V89" s="294"/>
    </row>
    <row r="90" spans="1:30" ht="22.5">
      <c r="A90" s="509" t="s">
        <v>560</v>
      </c>
      <c r="E90" s="523"/>
      <c r="G90" s="524"/>
      <c r="H90" s="524"/>
      <c r="I90" s="524"/>
      <c r="J90" s="524"/>
      <c r="K90" s="568"/>
      <c r="M90" s="524"/>
      <c r="U90" s="294"/>
      <c r="V90" s="294"/>
    </row>
    <row r="91" spans="1:30" ht="12.3">
      <c r="A91" s="561" t="s">
        <v>561</v>
      </c>
      <c r="B91" s="562"/>
      <c r="C91" s="562"/>
      <c r="D91" s="562"/>
      <c r="E91" s="562"/>
      <c r="F91" s="562"/>
      <c r="G91" s="562"/>
      <c r="H91" s="562"/>
      <c r="I91" s="562"/>
      <c r="J91" s="562"/>
      <c r="K91" s="562"/>
      <c r="L91" s="562"/>
      <c r="M91" s="574"/>
      <c r="N91" s="564"/>
      <c r="O91" s="564"/>
      <c r="P91" s="562"/>
      <c r="Q91" s="575"/>
      <c r="R91" s="575"/>
      <c r="S91" s="575"/>
      <c r="T91" s="294"/>
      <c r="U91" s="294"/>
      <c r="V91" s="294"/>
    </row>
    <row r="92" spans="1:30" ht="49.2">
      <c r="A92" s="576" t="s">
        <v>560</v>
      </c>
      <c r="B92" s="576" t="s">
        <v>562</v>
      </c>
      <c r="C92" s="576" t="s">
        <v>563</v>
      </c>
      <c r="D92" s="401" t="s">
        <v>521</v>
      </c>
      <c r="E92" s="576" t="s">
        <v>564</v>
      </c>
      <c r="F92" s="576" t="s">
        <v>522</v>
      </c>
      <c r="G92" s="577" t="s">
        <v>523</v>
      </c>
      <c r="H92" s="577" t="s">
        <v>565</v>
      </c>
      <c r="I92" s="401" t="s">
        <v>566</v>
      </c>
      <c r="J92" s="401" t="s">
        <v>567</v>
      </c>
      <c r="K92" s="401" t="s">
        <v>568</v>
      </c>
      <c r="L92" s="401" t="s">
        <v>569</v>
      </c>
      <c r="M92" s="401" t="s">
        <v>570</v>
      </c>
      <c r="N92" s="401" t="s">
        <v>571</v>
      </c>
      <c r="O92" s="401" t="str">
        <f>IF('Please Read First'!$C$11="metric", "Target harvest weight in g", "Target Harvest Weight per tray in oz")</f>
        <v>Target Harvest Weight per tray in oz</v>
      </c>
      <c r="P92" s="401" t="str">
        <f>IF('Please Read First'!$C$11="metric", "Total harvest weight in kg", "TotalHarvest Weight per tray in lbs")</f>
        <v>TotalHarvest Weight per tray in lbs</v>
      </c>
      <c r="W92" s="538"/>
      <c r="X92" s="538"/>
      <c r="Y92" s="46"/>
      <c r="Z92" s="46"/>
      <c r="AA92" s="46"/>
      <c r="AB92" s="46"/>
      <c r="AC92" s="46"/>
      <c r="AD92" s="46"/>
    </row>
    <row r="93" spans="1:30" ht="12.3">
      <c r="A93" s="353" t="str">
        <f>IF('Plant &amp; Fish Production'!F82="", "", 'Plant &amp; Fish Production'!F82)</f>
        <v>pea shoots</v>
      </c>
      <c r="B93" s="404"/>
      <c r="C93" s="404"/>
      <c r="D93" s="542"/>
      <c r="E93" s="404"/>
      <c r="F93" s="578"/>
      <c r="G93" s="579" t="str">
        <f>IF(F93="","",IF(F93=$M$3,$N$3,IF(F93=$M$4,$N$4,IF(F93=$M$5,$N$5,IF(F93=$M$6,$N$6,IF(F93=$M$7,$N$7,IF(F93=$M$8,$N$8,IF(F93=$M$9,$N$9,IF(F93=$M$10,$N$10,IF(F93=$M$11,$N$11))))))))))</f>
        <v/>
      </c>
      <c r="H93" s="580" t="str">
        <f>IF(E93="","",IF(G93="","",E93+C93+B93+G93))</f>
        <v/>
      </c>
      <c r="I93" s="406">
        <f>'Plant &amp; Fish Production'!J82</f>
        <v>156</v>
      </c>
      <c r="J93" s="581" t="str">
        <f>IF(H93="", "", H93*I93)</f>
        <v/>
      </c>
      <c r="K93" s="497"/>
      <c r="L93" s="544">
        <f>IF(I93="", "", K93*I93)</f>
        <v>0</v>
      </c>
      <c r="M93" s="544">
        <f>IF(L93="", "", L93/12)</f>
        <v>0</v>
      </c>
      <c r="N93" s="346" t="str">
        <f>IF(H93="", "", K93-H93)</f>
        <v/>
      </c>
      <c r="O93" s="541"/>
      <c r="P93" s="496">
        <f>IF(I93="","",IF('Please Read First'!$C$11="metric",('REV &amp; COGS'!O93*I93)/1000,('REV &amp; COGS'!O93*'REV &amp; COGS'!I93)/16))</f>
        <v>0</v>
      </c>
    </row>
    <row r="94" spans="1:30" ht="12.3">
      <c r="A94" s="353" t="str">
        <f>IF('Plant &amp; Fish Production'!F83="", "", 'Plant &amp; Fish Production'!F83)</f>
        <v/>
      </c>
      <c r="B94" s="404"/>
      <c r="C94" s="404"/>
      <c r="D94" s="542"/>
      <c r="E94" s="404"/>
      <c r="F94" s="578"/>
      <c r="G94" s="579" t="str">
        <f>IF(F94="","",IF(F94=$M$3,$N$3,IF(F94=$M$4,$N$4,IF(F94=$M$5,$N$5,IF(F94=$M$6,$N$6,IF(F94=$M$7,$N$7,IF(F94=$M$8,$N$8,IF(F94=$M$9,$N$9,IF(F94=$M$10,$N$10,IF(F94=$M$11,$N$11))))))))))</f>
        <v/>
      </c>
      <c r="H94" s="580" t="str">
        <f>IF(E94="","",IF(G94="","",E94+C94+B94+G94))</f>
        <v/>
      </c>
      <c r="I94" s="406" t="str">
        <f>'Plant &amp; Fish Production'!J83</f>
        <v/>
      </c>
      <c r="J94" s="581" t="str">
        <f>IF(H94="", "", H94*I94)</f>
        <v/>
      </c>
      <c r="K94" s="497"/>
      <c r="L94" s="544" t="str">
        <f t="shared" ref="L94:L106" si="43">IF(I94="", "", K94*I94)</f>
        <v/>
      </c>
      <c r="M94" s="544" t="str">
        <f t="shared" ref="M94:M106" si="44">IF(L94="", "", L94/12)</f>
        <v/>
      </c>
      <c r="N94" s="346" t="str">
        <f t="shared" ref="N94:N106" si="45">IF(H94="", "", K94-H94)</f>
        <v/>
      </c>
      <c r="O94" s="541"/>
      <c r="P94" s="496" t="str">
        <f>IF(I94="","",IF('Please Read First'!$C$11="metric",('REV &amp; COGS'!O94*I94)/1000,('REV &amp; COGS'!O94*'REV &amp; COGS'!I94)/16))</f>
        <v/>
      </c>
    </row>
    <row r="95" spans="1:30" ht="12.3">
      <c r="A95" s="353" t="str">
        <f>IF('Plant &amp; Fish Production'!F84="", "", 'Plant &amp; Fish Production'!F84)</f>
        <v/>
      </c>
      <c r="B95" s="404"/>
      <c r="C95" s="404"/>
      <c r="D95" s="542"/>
      <c r="E95" s="404"/>
      <c r="F95" s="578"/>
      <c r="G95" s="579" t="str">
        <f>IF(F95="","",IF(F95=$M$3,$N$3,IF(F95=$M$4,$N$4,IF(F95=$M$5,$N$5,IF(F95=$M$6,$N$6,IF(F95=$M$7,$N$7,IF(F95=$M$8,$N$8,IF(F95=$M$9,$N$9,IF(F95=$M$10,$N$10,IF(F95=$M$11,$N$11))))))))))</f>
        <v/>
      </c>
      <c r="H95" s="580" t="str">
        <f>IF(E95="","",IF(G95="","",E95+C95+B95+G95))</f>
        <v/>
      </c>
      <c r="I95" s="406" t="str">
        <f>'Plant &amp; Fish Production'!J84</f>
        <v/>
      </c>
      <c r="J95" s="581" t="str">
        <f>IF(H95="", "", H95*I95)</f>
        <v/>
      </c>
      <c r="K95" s="497"/>
      <c r="L95" s="544" t="str">
        <f t="shared" si="43"/>
        <v/>
      </c>
      <c r="M95" s="544" t="str">
        <f t="shared" si="44"/>
        <v/>
      </c>
      <c r="N95" s="346" t="str">
        <f t="shared" si="45"/>
        <v/>
      </c>
      <c r="O95" s="541"/>
      <c r="P95" s="496" t="str">
        <f>IF(I95="","",IF('Please Read First'!$C$11="metric",('REV &amp; COGS'!O95*I95)/1000,('REV &amp; COGS'!O95*'REV &amp; COGS'!I95)/16))</f>
        <v/>
      </c>
    </row>
    <row r="96" spans="1:30" ht="12.3">
      <c r="A96" s="353" t="str">
        <f>IF('Plant &amp; Fish Production'!F85="", "", 'Plant &amp; Fish Production'!F85)</f>
        <v/>
      </c>
      <c r="B96" s="404"/>
      <c r="C96" s="404"/>
      <c r="D96" s="542"/>
      <c r="E96" s="404"/>
      <c r="F96" s="578"/>
      <c r="G96" s="579" t="str">
        <f>IF(F96="","",IF(F96=$M$3,$N$3,IF(F96=$M$4,$N$4,IF(F96=$M$5,$N$5,IF(F96=$M$6,$N$6,IF(F96=$M$7,$N$7,IF(F96=$M$8,$N$8,IF(F96=$M$9,$N$9,IF(F96=$M$10,$N$10,IF(F96=$M$11,$N$11))))))))))</f>
        <v/>
      </c>
      <c r="H96" s="580" t="str">
        <f>IF(E96="","",IF(G96="","",E96+C96+B96+G96))</f>
        <v/>
      </c>
      <c r="I96" s="406" t="str">
        <f>'Plant &amp; Fish Production'!J85</f>
        <v/>
      </c>
      <c r="J96" s="581" t="str">
        <f>IF(H96="", "", H96*I96)</f>
        <v/>
      </c>
      <c r="K96" s="497"/>
      <c r="L96" s="544" t="str">
        <f t="shared" si="43"/>
        <v/>
      </c>
      <c r="M96" s="544" t="str">
        <f t="shared" si="44"/>
        <v/>
      </c>
      <c r="N96" s="346" t="str">
        <f t="shared" si="45"/>
        <v/>
      </c>
      <c r="O96" s="541"/>
      <c r="P96" s="496" t="str">
        <f>IF(I96="","",IF('Please Read First'!$C$11="metric",('REV &amp; COGS'!O96*I96)/1000,('REV &amp; COGS'!O96*'REV &amp; COGS'!I96)/16))</f>
        <v/>
      </c>
    </row>
    <row r="97" spans="1:16" ht="12.3">
      <c r="A97" s="353" t="str">
        <f>IF('Plant &amp; Fish Production'!F86="", "", 'Plant &amp; Fish Production'!F86)</f>
        <v/>
      </c>
      <c r="B97" s="404"/>
      <c r="C97" s="404"/>
      <c r="D97" s="542"/>
      <c r="E97" s="404"/>
      <c r="F97" s="578"/>
      <c r="G97" s="579" t="str">
        <f>IF(F97="","",IF(F97=$M$3,$N$3,IF(F97=$M$4,$N$4,IF(F97=$M$5,$N$5,IF(F97=$M$6,$N$6,IF(F97=$M$7,$N$7,IF(F97=$M$8,$N$8,IF(F97=$M$9,$N$9,IF(F97=$M$10,$N$10,IF(F97=$M$11,$N$11))))))))))</f>
        <v/>
      </c>
      <c r="H97" s="580" t="str">
        <f>IF(E97="","",IF(G97="","",E97+C97+B97+G97))</f>
        <v/>
      </c>
      <c r="I97" s="406" t="str">
        <f>'Plant &amp; Fish Production'!J86</f>
        <v/>
      </c>
      <c r="J97" s="581" t="str">
        <f>IF(H97="", "", H97*I97)</f>
        <v/>
      </c>
      <c r="K97" s="497"/>
      <c r="L97" s="544" t="str">
        <f t="shared" si="43"/>
        <v/>
      </c>
      <c r="M97" s="544" t="str">
        <f t="shared" si="44"/>
        <v/>
      </c>
      <c r="N97" s="346" t="str">
        <f t="shared" si="45"/>
        <v/>
      </c>
      <c r="O97" s="541"/>
      <c r="P97" s="496" t="str">
        <f>IF(I97="","",IF('Please Read First'!$C$11="metric",('REV &amp; COGS'!O97*I97)/1000,('REV &amp; COGS'!O97*'REV &amp; COGS'!I97)/16))</f>
        <v/>
      </c>
    </row>
    <row r="98" spans="1:16" ht="12.3">
      <c r="A98" s="353" t="str">
        <f>IF('Plant &amp; Fish Production'!F87="", "", 'Plant &amp; Fish Production'!F87)</f>
        <v/>
      </c>
      <c r="B98" s="404"/>
      <c r="C98" s="404"/>
      <c r="D98" s="542"/>
      <c r="E98" s="404"/>
      <c r="F98" s="578"/>
      <c r="G98" s="579" t="str">
        <f t="shared" ref="G98:G106" si="46">IF(F98="","",IF(F98=$M$3,$N$3,IF(F98=$M$4,$N$4,IF(F98=$M$5,$N$5,IF(F98=$M$6,$N$6,IF(F98=$M$7,$N$7,IF(F98=$M$8,$N$8,IF(F98=$M$9,$N$9,IF(F98=$M$10,$N$10,IF(F98=$M$11,$N$11))))))))))</f>
        <v/>
      </c>
      <c r="H98" s="580" t="str">
        <f t="shared" ref="H98:H106" si="47">IF(E98="","",IF(G98="","",E98+C98+B98+G98))</f>
        <v/>
      </c>
      <c r="I98" s="406" t="str">
        <f>'Plant &amp; Fish Production'!J87</f>
        <v/>
      </c>
      <c r="J98" s="581" t="str">
        <f t="shared" ref="J98:J106" si="48">IF(H98="", "", H98*I98)</f>
        <v/>
      </c>
      <c r="K98" s="497"/>
      <c r="L98" s="544" t="str">
        <f t="shared" si="43"/>
        <v/>
      </c>
      <c r="M98" s="544" t="str">
        <f t="shared" si="44"/>
        <v/>
      </c>
      <c r="N98" s="346" t="str">
        <f t="shared" si="45"/>
        <v/>
      </c>
      <c r="O98" s="541"/>
      <c r="P98" s="496" t="str">
        <f>IF(I98="","",IF('Please Read First'!$C$11="metric",('REV &amp; COGS'!O98*I98)/1000,('REV &amp; COGS'!O98*'REV &amp; COGS'!I98)/16))</f>
        <v/>
      </c>
    </row>
    <row r="99" spans="1:16" ht="12.3">
      <c r="A99" s="353" t="str">
        <f>IF('Plant &amp; Fish Production'!F88="", "", 'Plant &amp; Fish Production'!F88)</f>
        <v/>
      </c>
      <c r="B99" s="404"/>
      <c r="C99" s="404"/>
      <c r="D99" s="542"/>
      <c r="E99" s="404"/>
      <c r="F99" s="578"/>
      <c r="G99" s="579" t="str">
        <f t="shared" si="46"/>
        <v/>
      </c>
      <c r="H99" s="580" t="str">
        <f t="shared" si="47"/>
        <v/>
      </c>
      <c r="I99" s="406" t="str">
        <f>'Plant &amp; Fish Production'!J88</f>
        <v/>
      </c>
      <c r="J99" s="581" t="str">
        <f t="shared" si="48"/>
        <v/>
      </c>
      <c r="K99" s="497"/>
      <c r="L99" s="544" t="str">
        <f t="shared" si="43"/>
        <v/>
      </c>
      <c r="M99" s="544" t="str">
        <f t="shared" si="44"/>
        <v/>
      </c>
      <c r="N99" s="346" t="str">
        <f t="shared" si="45"/>
        <v/>
      </c>
      <c r="O99" s="541"/>
      <c r="P99" s="496" t="str">
        <f>IF(I99="","",IF('Please Read First'!$C$11="metric",('REV &amp; COGS'!O99*I99)/1000,('REV &amp; COGS'!O99*'REV &amp; COGS'!I99)/16))</f>
        <v/>
      </c>
    </row>
    <row r="100" spans="1:16" ht="12.3">
      <c r="A100" s="353" t="str">
        <f>IF('Plant &amp; Fish Production'!F89="", "", 'Plant &amp; Fish Production'!F89)</f>
        <v/>
      </c>
      <c r="B100" s="404"/>
      <c r="C100" s="404"/>
      <c r="D100" s="542"/>
      <c r="E100" s="404"/>
      <c r="F100" s="578"/>
      <c r="G100" s="579" t="str">
        <f t="shared" si="46"/>
        <v/>
      </c>
      <c r="H100" s="580" t="str">
        <f t="shared" si="47"/>
        <v/>
      </c>
      <c r="I100" s="406" t="str">
        <f>'Plant &amp; Fish Production'!J89</f>
        <v/>
      </c>
      <c r="J100" s="581" t="str">
        <f t="shared" si="48"/>
        <v/>
      </c>
      <c r="K100" s="497"/>
      <c r="L100" s="544" t="str">
        <f t="shared" si="43"/>
        <v/>
      </c>
      <c r="M100" s="544" t="str">
        <f t="shared" si="44"/>
        <v/>
      </c>
      <c r="N100" s="346" t="str">
        <f t="shared" si="45"/>
        <v/>
      </c>
      <c r="O100" s="541"/>
      <c r="P100" s="496" t="str">
        <f>IF(I100="","",IF('Please Read First'!$C$11="metric",('REV &amp; COGS'!O100*I100)/1000,('REV &amp; COGS'!O100*'REV &amp; COGS'!I100)/16))</f>
        <v/>
      </c>
    </row>
    <row r="101" spans="1:16" ht="12.3">
      <c r="A101" s="353" t="str">
        <f>IF('Plant &amp; Fish Production'!F90="", "", 'Plant &amp; Fish Production'!F90)</f>
        <v/>
      </c>
      <c r="B101" s="404"/>
      <c r="C101" s="404"/>
      <c r="D101" s="542"/>
      <c r="E101" s="404"/>
      <c r="F101" s="578"/>
      <c r="G101" s="579" t="str">
        <f t="shared" si="46"/>
        <v/>
      </c>
      <c r="H101" s="580" t="str">
        <f t="shared" si="47"/>
        <v/>
      </c>
      <c r="I101" s="406" t="str">
        <f>'Plant &amp; Fish Production'!J90</f>
        <v/>
      </c>
      <c r="J101" s="581" t="str">
        <f t="shared" si="48"/>
        <v/>
      </c>
      <c r="K101" s="497"/>
      <c r="L101" s="544" t="str">
        <f t="shared" si="43"/>
        <v/>
      </c>
      <c r="M101" s="544" t="str">
        <f t="shared" si="44"/>
        <v/>
      </c>
      <c r="N101" s="346" t="str">
        <f t="shared" si="45"/>
        <v/>
      </c>
      <c r="O101" s="541"/>
      <c r="P101" s="496" t="str">
        <f>IF(I101="","",IF('Please Read First'!$C$11="metric",('REV &amp; COGS'!O101*I101)/1000,('REV &amp; COGS'!O101*'REV &amp; COGS'!I101)/16))</f>
        <v/>
      </c>
    </row>
    <row r="102" spans="1:16" ht="12.3">
      <c r="A102" s="353" t="str">
        <f>IF('Plant &amp; Fish Production'!F91="", "", 'Plant &amp; Fish Production'!F91)</f>
        <v/>
      </c>
      <c r="B102" s="404"/>
      <c r="C102" s="404"/>
      <c r="D102" s="542"/>
      <c r="E102" s="404"/>
      <c r="F102" s="578"/>
      <c r="G102" s="579" t="str">
        <f t="shared" si="46"/>
        <v/>
      </c>
      <c r="H102" s="580" t="str">
        <f t="shared" si="47"/>
        <v/>
      </c>
      <c r="I102" s="406" t="str">
        <f>'Plant &amp; Fish Production'!J91</f>
        <v/>
      </c>
      <c r="J102" s="581" t="str">
        <f t="shared" si="48"/>
        <v/>
      </c>
      <c r="K102" s="497"/>
      <c r="L102" s="544" t="str">
        <f t="shared" si="43"/>
        <v/>
      </c>
      <c r="M102" s="544" t="str">
        <f t="shared" si="44"/>
        <v/>
      </c>
      <c r="N102" s="346" t="str">
        <f t="shared" si="45"/>
        <v/>
      </c>
      <c r="O102" s="541"/>
      <c r="P102" s="496" t="str">
        <f>IF(I102="","",IF('Please Read First'!$C$11="metric",('REV &amp; COGS'!O102*I102)/1000,('REV &amp; COGS'!O102*'REV &amp; COGS'!I102)/16))</f>
        <v/>
      </c>
    </row>
    <row r="103" spans="1:16" ht="12.3">
      <c r="A103" s="353" t="str">
        <f>IF('Plant &amp; Fish Production'!F92="", "", 'Plant &amp; Fish Production'!F92)</f>
        <v/>
      </c>
      <c r="B103" s="404"/>
      <c r="C103" s="404"/>
      <c r="D103" s="542"/>
      <c r="E103" s="404"/>
      <c r="F103" s="578"/>
      <c r="G103" s="579" t="str">
        <f t="shared" si="46"/>
        <v/>
      </c>
      <c r="H103" s="580" t="str">
        <f t="shared" si="47"/>
        <v/>
      </c>
      <c r="I103" s="406" t="str">
        <f>'Plant &amp; Fish Production'!J92</f>
        <v/>
      </c>
      <c r="J103" s="581" t="str">
        <f t="shared" si="48"/>
        <v/>
      </c>
      <c r="K103" s="497"/>
      <c r="L103" s="544" t="str">
        <f t="shared" si="43"/>
        <v/>
      </c>
      <c r="M103" s="544" t="str">
        <f t="shared" si="44"/>
        <v/>
      </c>
      <c r="N103" s="346" t="str">
        <f t="shared" si="45"/>
        <v/>
      </c>
      <c r="O103" s="541"/>
      <c r="P103" s="496" t="str">
        <f>IF(I103="","",IF('Please Read First'!$C$11="metric",('REV &amp; COGS'!O103*I103)/1000,('REV &amp; COGS'!O103*'REV &amp; COGS'!I103)/16))</f>
        <v/>
      </c>
    </row>
    <row r="104" spans="1:16" ht="12.3">
      <c r="A104" s="353" t="str">
        <f>IF('Plant &amp; Fish Production'!F93="", "", 'Plant &amp; Fish Production'!F93)</f>
        <v/>
      </c>
      <c r="B104" s="404"/>
      <c r="C104" s="404"/>
      <c r="D104" s="542"/>
      <c r="E104" s="404"/>
      <c r="F104" s="578"/>
      <c r="G104" s="579" t="str">
        <f t="shared" si="46"/>
        <v/>
      </c>
      <c r="H104" s="580" t="str">
        <f t="shared" si="47"/>
        <v/>
      </c>
      <c r="I104" s="406" t="str">
        <f>'Plant &amp; Fish Production'!J93</f>
        <v/>
      </c>
      <c r="J104" s="581" t="str">
        <f t="shared" si="48"/>
        <v/>
      </c>
      <c r="K104" s="497"/>
      <c r="L104" s="544" t="str">
        <f t="shared" si="43"/>
        <v/>
      </c>
      <c r="M104" s="544" t="str">
        <f t="shared" si="44"/>
        <v/>
      </c>
      <c r="N104" s="346" t="str">
        <f t="shared" si="45"/>
        <v/>
      </c>
      <c r="O104" s="541"/>
      <c r="P104" s="496" t="str">
        <f>IF(I104="","",IF('Please Read First'!$C$11="metric",('REV &amp; COGS'!O104*I104)/1000,('REV &amp; COGS'!O104*'REV &amp; COGS'!I104)/16))</f>
        <v/>
      </c>
    </row>
    <row r="105" spans="1:16" ht="12.3">
      <c r="A105" s="353" t="str">
        <f>IF('Plant &amp; Fish Production'!F94="", "", 'Plant &amp; Fish Production'!F94)</f>
        <v/>
      </c>
      <c r="B105" s="404"/>
      <c r="C105" s="404"/>
      <c r="D105" s="542"/>
      <c r="E105" s="404"/>
      <c r="F105" s="578"/>
      <c r="G105" s="579" t="str">
        <f t="shared" si="46"/>
        <v/>
      </c>
      <c r="H105" s="580" t="str">
        <f t="shared" si="47"/>
        <v/>
      </c>
      <c r="I105" s="406" t="str">
        <f>'Plant &amp; Fish Production'!J94</f>
        <v/>
      </c>
      <c r="J105" s="581" t="str">
        <f t="shared" si="48"/>
        <v/>
      </c>
      <c r="K105" s="497"/>
      <c r="L105" s="544" t="str">
        <f t="shared" si="43"/>
        <v/>
      </c>
      <c r="M105" s="544" t="str">
        <f t="shared" si="44"/>
        <v/>
      </c>
      <c r="N105" s="346" t="str">
        <f t="shared" si="45"/>
        <v/>
      </c>
      <c r="O105" s="541"/>
      <c r="P105" s="496" t="str">
        <f>IF(I105="","",IF('Please Read First'!$C$11="metric",('REV &amp; COGS'!O105*I105)/1000,('REV &amp; COGS'!O105*'REV &amp; COGS'!I105)/16))</f>
        <v/>
      </c>
    </row>
    <row r="106" spans="1:16" ht="12.3">
      <c r="A106" s="353" t="str">
        <f>IF('Plant &amp; Fish Production'!F95="", "", 'Plant &amp; Fish Production'!F95)</f>
        <v/>
      </c>
      <c r="B106" s="404"/>
      <c r="C106" s="404"/>
      <c r="D106" s="542"/>
      <c r="E106" s="404"/>
      <c r="F106" s="578"/>
      <c r="G106" s="579" t="str">
        <f t="shared" si="46"/>
        <v/>
      </c>
      <c r="H106" s="580" t="str">
        <f t="shared" si="47"/>
        <v/>
      </c>
      <c r="I106" s="406" t="str">
        <f>'Plant &amp; Fish Production'!J95</f>
        <v/>
      </c>
      <c r="J106" s="581" t="str">
        <f t="shared" si="48"/>
        <v/>
      </c>
      <c r="K106" s="497"/>
      <c r="L106" s="544" t="str">
        <f t="shared" si="43"/>
        <v/>
      </c>
      <c r="M106" s="544" t="str">
        <f t="shared" si="44"/>
        <v/>
      </c>
      <c r="N106" s="346" t="str">
        <f t="shared" si="45"/>
        <v/>
      </c>
      <c r="O106" s="541"/>
      <c r="P106" s="496" t="str">
        <f>IF(I106="","",IF('Please Read First'!$C$11="metric",('REV &amp; COGS'!O106*I106)/1000,('REV &amp; COGS'!O106*'REV &amp; COGS'!I106)/16))</f>
        <v/>
      </c>
    </row>
    <row r="107" spans="1:16" ht="12.3">
      <c r="A107" s="494" t="s">
        <v>443</v>
      </c>
      <c r="B107" s="494"/>
      <c r="C107" s="494"/>
      <c r="D107" s="582"/>
      <c r="E107" s="494"/>
      <c r="F107" s="583"/>
      <c r="G107" s="584"/>
      <c r="H107" s="585"/>
      <c r="I107" s="586">
        <f>SUM(I93:I106)</f>
        <v>156</v>
      </c>
      <c r="J107" s="587">
        <f>SUM(J93:J106)</f>
        <v>0</v>
      </c>
      <c r="K107" s="583"/>
      <c r="L107" s="588">
        <f>SUM(L93:L106)</f>
        <v>0</v>
      </c>
      <c r="M107" s="588">
        <f>SUM(M93:M106)</f>
        <v>0</v>
      </c>
      <c r="N107" s="583"/>
      <c r="O107" s="582"/>
      <c r="P107" s="589">
        <f>SUM(P93:P106)</f>
        <v>0</v>
      </c>
    </row>
    <row r="108" spans="1:16" ht="12.3">
      <c r="F108" s="523"/>
      <c r="H108" s="524"/>
      <c r="I108" s="524"/>
      <c r="J108" s="524"/>
      <c r="K108" s="524"/>
      <c r="L108" s="568"/>
      <c r="M108" s="524"/>
    </row>
    <row r="109" spans="1:16" ht="12.3">
      <c r="E109" s="523"/>
      <c r="G109" s="524"/>
      <c r="H109" s="524"/>
      <c r="I109" s="524"/>
      <c r="J109" s="524"/>
      <c r="K109" s="568"/>
      <c r="M109" s="524"/>
    </row>
    <row r="110" spans="1:16" ht="12.3">
      <c r="E110" s="523"/>
      <c r="G110" s="524"/>
      <c r="H110" s="524"/>
      <c r="I110" s="524"/>
      <c r="J110" s="524"/>
      <c r="K110" s="568"/>
      <c r="M110" s="524"/>
    </row>
    <row r="111" spans="1:16" ht="12.3">
      <c r="E111" s="523"/>
      <c r="G111" s="524"/>
      <c r="H111" s="524"/>
      <c r="I111" s="524"/>
      <c r="J111" s="524"/>
      <c r="K111" s="568"/>
      <c r="M111" s="524"/>
    </row>
    <row r="112" spans="1:16" ht="12.3">
      <c r="E112" s="523"/>
      <c r="G112" s="524"/>
      <c r="H112" s="524"/>
      <c r="I112" s="524"/>
      <c r="J112" s="524"/>
      <c r="K112" s="568"/>
      <c r="M112" s="524"/>
    </row>
    <row r="113" spans="5:13" ht="12.3">
      <c r="E113" s="523"/>
      <c r="G113" s="524"/>
      <c r="H113" s="524"/>
      <c r="I113" s="524"/>
      <c r="J113" s="524"/>
      <c r="K113" s="568"/>
      <c r="M113" s="524"/>
    </row>
    <row r="114" spans="5:13" ht="12.3">
      <c r="E114" s="523"/>
      <c r="G114" s="524"/>
      <c r="H114" s="524"/>
      <c r="I114" s="524"/>
      <c r="J114" s="524"/>
      <c r="K114" s="568"/>
      <c r="M114" s="524"/>
    </row>
    <row r="115" spans="5:13" ht="12.3">
      <c r="E115" s="523"/>
      <c r="G115" s="524"/>
      <c r="H115" s="524"/>
      <c r="I115" s="524"/>
      <c r="J115" s="524"/>
      <c r="K115" s="568"/>
      <c r="M115" s="524"/>
    </row>
    <row r="116" spans="5:13" ht="12.3">
      <c r="E116" s="523"/>
      <c r="G116" s="524"/>
      <c r="H116" s="524"/>
      <c r="I116" s="524"/>
      <c r="J116" s="524"/>
      <c r="K116" s="568"/>
      <c r="M116" s="524"/>
    </row>
    <row r="117" spans="5:13" ht="12.3">
      <c r="E117" s="523"/>
      <c r="G117" s="524"/>
      <c r="H117" s="524"/>
      <c r="I117" s="524"/>
      <c r="J117" s="524"/>
      <c r="K117" s="568"/>
      <c r="M117" s="524"/>
    </row>
    <row r="118" spans="5:13" ht="12.3">
      <c r="E118" s="523"/>
      <c r="G118" s="524"/>
      <c r="H118" s="524"/>
      <c r="I118" s="524"/>
      <c r="J118" s="524"/>
      <c r="K118" s="568"/>
      <c r="M118" s="524"/>
    </row>
    <row r="119" spans="5:13" ht="12.3">
      <c r="E119" s="523"/>
      <c r="G119" s="524"/>
      <c r="H119" s="524"/>
      <c r="I119" s="524"/>
      <c r="J119" s="524"/>
      <c r="K119" s="568"/>
      <c r="M119" s="524"/>
    </row>
    <row r="120" spans="5:13" ht="12.3">
      <c r="E120" s="523"/>
      <c r="G120" s="524"/>
      <c r="H120" s="524"/>
      <c r="I120" s="524"/>
      <c r="J120" s="524"/>
      <c r="K120" s="568"/>
      <c r="M120" s="524"/>
    </row>
    <row r="121" spans="5:13" ht="12.3">
      <c r="E121" s="523"/>
      <c r="G121" s="524"/>
      <c r="H121" s="524"/>
      <c r="I121" s="524"/>
      <c r="J121" s="524"/>
      <c r="K121" s="568"/>
      <c r="M121" s="524"/>
    </row>
    <row r="122" spans="5:13" ht="12.3">
      <c r="E122" s="523"/>
      <c r="G122" s="524"/>
      <c r="H122" s="524"/>
      <c r="I122" s="524"/>
      <c r="J122" s="524"/>
      <c r="K122" s="568"/>
      <c r="M122" s="524"/>
    </row>
    <row r="123" spans="5:13" ht="12.3">
      <c r="E123" s="523"/>
      <c r="G123" s="524"/>
      <c r="H123" s="524"/>
      <c r="I123" s="524"/>
      <c r="J123" s="524"/>
      <c r="K123" s="568"/>
      <c r="M123" s="524"/>
    </row>
    <row r="124" spans="5:13" ht="12.3">
      <c r="E124" s="523"/>
      <c r="G124" s="524"/>
      <c r="H124" s="524"/>
      <c r="I124" s="524"/>
      <c r="J124" s="524"/>
      <c r="K124" s="568"/>
      <c r="M124" s="524"/>
    </row>
    <row r="125" spans="5:13" ht="12.3">
      <c r="E125" s="523"/>
      <c r="G125" s="524"/>
      <c r="H125" s="524"/>
      <c r="I125" s="524"/>
      <c r="J125" s="524"/>
      <c r="K125" s="568"/>
      <c r="M125" s="524"/>
    </row>
    <row r="126" spans="5:13" ht="12.3">
      <c r="E126" s="523"/>
      <c r="G126" s="524"/>
      <c r="H126" s="524"/>
      <c r="I126" s="524"/>
      <c r="J126" s="524"/>
      <c r="K126" s="568"/>
      <c r="M126" s="524"/>
    </row>
    <row r="127" spans="5:13" ht="12.3">
      <c r="E127" s="523"/>
      <c r="G127" s="524"/>
      <c r="H127" s="524"/>
      <c r="I127" s="524"/>
      <c r="J127" s="524"/>
      <c r="K127" s="568"/>
      <c r="M127" s="524"/>
    </row>
    <row r="128" spans="5:13" ht="12.3">
      <c r="E128" s="523"/>
      <c r="G128" s="524"/>
      <c r="H128" s="524"/>
      <c r="I128" s="524"/>
      <c r="J128" s="524"/>
      <c r="K128" s="568"/>
      <c r="M128" s="524"/>
    </row>
    <row r="129" spans="5:13" ht="12.3">
      <c r="E129" s="523"/>
      <c r="G129" s="524"/>
      <c r="H129" s="524"/>
      <c r="I129" s="524"/>
      <c r="J129" s="524"/>
      <c r="K129" s="568"/>
      <c r="M129" s="524"/>
    </row>
    <row r="130" spans="5:13" ht="12.3">
      <c r="E130" s="523"/>
      <c r="G130" s="524"/>
      <c r="H130" s="524"/>
      <c r="I130" s="524"/>
      <c r="J130" s="524"/>
      <c r="K130" s="568"/>
      <c r="M130" s="524"/>
    </row>
    <row r="131" spans="5:13" ht="12.3">
      <c r="E131" s="523"/>
      <c r="G131" s="524"/>
      <c r="H131" s="524"/>
      <c r="I131" s="524"/>
      <c r="J131" s="524"/>
      <c r="K131" s="568"/>
      <c r="M131" s="524"/>
    </row>
    <row r="132" spans="5:13" ht="12.3">
      <c r="E132" s="523"/>
      <c r="G132" s="524"/>
      <c r="H132" s="524"/>
      <c r="I132" s="524"/>
      <c r="J132" s="524"/>
      <c r="K132" s="568"/>
      <c r="M132" s="524"/>
    </row>
    <row r="133" spans="5:13" ht="12.3">
      <c r="E133" s="523"/>
      <c r="G133" s="524"/>
      <c r="H133" s="524"/>
      <c r="I133" s="524"/>
      <c r="J133" s="524"/>
      <c r="K133" s="568"/>
      <c r="M133" s="524"/>
    </row>
    <row r="134" spans="5:13" ht="12.3">
      <c r="E134" s="523"/>
      <c r="G134" s="524"/>
      <c r="H134" s="524"/>
      <c r="I134" s="524"/>
      <c r="J134" s="524"/>
      <c r="K134" s="568"/>
      <c r="M134" s="524"/>
    </row>
    <row r="135" spans="5:13" ht="12.3">
      <c r="E135" s="523"/>
      <c r="G135" s="524"/>
      <c r="H135" s="524"/>
      <c r="I135" s="524"/>
      <c r="J135" s="524"/>
      <c r="K135" s="568"/>
      <c r="M135" s="524"/>
    </row>
    <row r="136" spans="5:13" ht="12.3">
      <c r="E136" s="523"/>
      <c r="G136" s="524"/>
      <c r="H136" s="524"/>
      <c r="I136" s="524"/>
      <c r="J136" s="524"/>
      <c r="K136" s="568"/>
      <c r="M136" s="524"/>
    </row>
    <row r="137" spans="5:13" ht="12.3">
      <c r="E137" s="523"/>
      <c r="G137" s="524"/>
      <c r="H137" s="524"/>
      <c r="I137" s="524"/>
      <c r="J137" s="524"/>
      <c r="K137" s="568"/>
      <c r="M137" s="524"/>
    </row>
    <row r="138" spans="5:13" ht="12.3">
      <c r="E138" s="523"/>
      <c r="G138" s="524"/>
      <c r="H138" s="524"/>
      <c r="I138" s="524"/>
      <c r="J138" s="524"/>
      <c r="K138" s="568"/>
      <c r="M138" s="524"/>
    </row>
    <row r="139" spans="5:13" ht="12.3">
      <c r="E139" s="523"/>
      <c r="G139" s="524"/>
      <c r="H139" s="524"/>
      <c r="I139" s="524"/>
      <c r="J139" s="524"/>
      <c r="K139" s="568"/>
      <c r="M139" s="524"/>
    </row>
    <row r="140" spans="5:13" ht="12.3">
      <c r="E140" s="523"/>
      <c r="G140" s="524"/>
      <c r="H140" s="524"/>
      <c r="I140" s="524"/>
      <c r="J140" s="524"/>
      <c r="K140" s="568"/>
      <c r="M140" s="524"/>
    </row>
    <row r="141" spans="5:13" ht="12.3">
      <c r="E141" s="523"/>
      <c r="G141" s="524"/>
      <c r="H141" s="524"/>
      <c r="I141" s="524"/>
      <c r="J141" s="524"/>
      <c r="K141" s="568"/>
      <c r="M141" s="524"/>
    </row>
    <row r="142" spans="5:13" ht="12.3">
      <c r="E142" s="523"/>
      <c r="G142" s="524"/>
      <c r="H142" s="524"/>
      <c r="I142" s="524"/>
      <c r="J142" s="524"/>
      <c r="K142" s="568"/>
      <c r="M142" s="524"/>
    </row>
    <row r="143" spans="5:13" ht="12.3">
      <c r="E143" s="523"/>
      <c r="G143" s="524"/>
      <c r="H143" s="524"/>
      <c r="I143" s="524"/>
      <c r="J143" s="524"/>
      <c r="K143" s="568"/>
      <c r="M143" s="524"/>
    </row>
    <row r="144" spans="5:13" ht="12.3">
      <c r="E144" s="523"/>
      <c r="G144" s="524"/>
      <c r="H144" s="524"/>
      <c r="I144" s="524"/>
      <c r="J144" s="524"/>
      <c r="K144" s="568"/>
      <c r="M144" s="524"/>
    </row>
    <row r="145" spans="5:13" ht="12.3">
      <c r="E145" s="523"/>
      <c r="G145" s="524"/>
      <c r="H145" s="524"/>
      <c r="I145" s="524"/>
      <c r="J145" s="524"/>
      <c r="K145" s="568"/>
      <c r="M145" s="524"/>
    </row>
    <row r="146" spans="5:13" ht="12.3">
      <c r="E146" s="523"/>
      <c r="G146" s="524"/>
      <c r="H146" s="524"/>
      <c r="I146" s="524"/>
      <c r="J146" s="524"/>
      <c r="K146" s="568"/>
      <c r="M146" s="524"/>
    </row>
    <row r="147" spans="5:13" ht="12.3">
      <c r="E147" s="523"/>
      <c r="G147" s="524"/>
      <c r="H147" s="524"/>
      <c r="I147" s="524"/>
      <c r="J147" s="524"/>
      <c r="K147" s="568"/>
      <c r="M147" s="524"/>
    </row>
    <row r="148" spans="5:13" ht="12.3">
      <c r="E148" s="523"/>
      <c r="G148" s="524"/>
      <c r="H148" s="524"/>
      <c r="I148" s="524"/>
      <c r="J148" s="524"/>
      <c r="K148" s="568"/>
      <c r="M148" s="524"/>
    </row>
    <row r="149" spans="5:13" ht="12.3">
      <c r="E149" s="523"/>
      <c r="G149" s="524"/>
      <c r="H149" s="524"/>
      <c r="I149" s="524"/>
      <c r="J149" s="524"/>
      <c r="K149" s="568"/>
      <c r="M149" s="524"/>
    </row>
    <row r="150" spans="5:13" ht="12.3">
      <c r="E150" s="523"/>
      <c r="G150" s="524"/>
      <c r="H150" s="524"/>
      <c r="I150" s="524"/>
      <c r="J150" s="524"/>
      <c r="K150" s="568"/>
      <c r="M150" s="524"/>
    </row>
    <row r="151" spans="5:13" ht="12.3">
      <c r="E151" s="523"/>
      <c r="G151" s="524"/>
      <c r="H151" s="524"/>
      <c r="I151" s="524"/>
      <c r="J151" s="524"/>
      <c r="K151" s="568"/>
      <c r="M151" s="524"/>
    </row>
    <row r="152" spans="5:13" ht="12.3">
      <c r="E152" s="523"/>
      <c r="G152" s="524"/>
      <c r="H152" s="524"/>
      <c r="I152" s="524"/>
      <c r="J152" s="524"/>
      <c r="K152" s="568"/>
      <c r="M152" s="524"/>
    </row>
    <row r="153" spans="5:13" ht="12.3">
      <c r="E153" s="523"/>
      <c r="G153" s="524"/>
      <c r="H153" s="524"/>
      <c r="I153" s="524"/>
      <c r="J153" s="524"/>
      <c r="K153" s="568"/>
      <c r="M153" s="524"/>
    </row>
    <row r="154" spans="5:13" ht="12.3">
      <c r="E154" s="523"/>
      <c r="G154" s="524"/>
      <c r="H154" s="524"/>
      <c r="I154" s="524"/>
      <c r="J154" s="524"/>
      <c r="K154" s="568"/>
      <c r="M154" s="524"/>
    </row>
    <row r="155" spans="5:13" ht="12.3">
      <c r="E155" s="523"/>
      <c r="G155" s="524"/>
      <c r="H155" s="524"/>
      <c r="I155" s="524"/>
      <c r="J155" s="524"/>
      <c r="K155" s="568"/>
      <c r="M155" s="524"/>
    </row>
    <row r="156" spans="5:13" ht="12.3">
      <c r="E156" s="523"/>
      <c r="G156" s="524"/>
      <c r="H156" s="524"/>
      <c r="I156" s="524"/>
      <c r="J156" s="524"/>
      <c r="K156" s="568"/>
      <c r="M156" s="524"/>
    </row>
    <row r="157" spans="5:13" ht="12.3">
      <c r="E157" s="523"/>
      <c r="G157" s="524"/>
      <c r="H157" s="524"/>
      <c r="I157" s="524"/>
      <c r="J157" s="524"/>
      <c r="K157" s="568"/>
      <c r="M157" s="524"/>
    </row>
    <row r="158" spans="5:13" ht="12.3">
      <c r="E158" s="523"/>
      <c r="G158" s="524"/>
      <c r="H158" s="524"/>
      <c r="I158" s="524"/>
      <c r="J158" s="524"/>
      <c r="K158" s="568"/>
      <c r="M158" s="524"/>
    </row>
    <row r="159" spans="5:13" ht="12.3">
      <c r="E159" s="523"/>
      <c r="G159" s="524"/>
      <c r="H159" s="524"/>
      <c r="I159" s="524"/>
      <c r="J159" s="524"/>
      <c r="K159" s="568"/>
      <c r="M159" s="524"/>
    </row>
    <row r="160" spans="5:13" ht="12.3">
      <c r="E160" s="523"/>
      <c r="G160" s="524"/>
      <c r="H160" s="524"/>
      <c r="I160" s="524"/>
      <c r="J160" s="524"/>
      <c r="K160" s="568"/>
      <c r="M160" s="524"/>
    </row>
    <row r="161" spans="5:13" ht="12.3">
      <c r="E161" s="523"/>
      <c r="G161" s="524"/>
      <c r="H161" s="524"/>
      <c r="I161" s="524"/>
      <c r="J161" s="524"/>
      <c r="K161" s="568"/>
      <c r="M161" s="524"/>
    </row>
    <row r="162" spans="5:13" ht="12.3">
      <c r="E162" s="523"/>
      <c r="G162" s="524"/>
      <c r="H162" s="524"/>
      <c r="I162" s="524"/>
      <c r="J162" s="524"/>
      <c r="K162" s="568"/>
      <c r="M162" s="524"/>
    </row>
    <row r="163" spans="5:13" ht="12.3">
      <c r="E163" s="523"/>
      <c r="G163" s="524"/>
      <c r="H163" s="524"/>
      <c r="I163" s="524"/>
      <c r="J163" s="524"/>
      <c r="K163" s="568"/>
      <c r="M163" s="524"/>
    </row>
    <row r="164" spans="5:13" ht="12.3">
      <c r="E164" s="523"/>
      <c r="G164" s="524"/>
      <c r="H164" s="524"/>
      <c r="I164" s="524"/>
      <c r="J164" s="524"/>
      <c r="K164" s="568"/>
      <c r="M164" s="524"/>
    </row>
    <row r="165" spans="5:13" ht="12.3">
      <c r="E165" s="523"/>
      <c r="G165" s="524"/>
      <c r="H165" s="524"/>
      <c r="I165" s="524"/>
      <c r="J165" s="524"/>
      <c r="K165" s="568"/>
      <c r="M165" s="524"/>
    </row>
    <row r="166" spans="5:13" ht="12.3">
      <c r="E166" s="523"/>
      <c r="G166" s="524"/>
      <c r="H166" s="524"/>
      <c r="I166" s="524"/>
      <c r="J166" s="524"/>
      <c r="K166" s="568"/>
      <c r="M166" s="524"/>
    </row>
    <row r="167" spans="5:13" ht="12.3">
      <c r="E167" s="523"/>
      <c r="G167" s="524"/>
      <c r="H167" s="524"/>
      <c r="I167" s="524"/>
      <c r="J167" s="524"/>
      <c r="K167" s="568"/>
      <c r="M167" s="524"/>
    </row>
    <row r="168" spans="5:13" ht="12.3">
      <c r="E168" s="523"/>
      <c r="G168" s="524"/>
      <c r="H168" s="524"/>
      <c r="I168" s="524"/>
      <c r="J168" s="524"/>
      <c r="K168" s="568"/>
      <c r="M168" s="524"/>
    </row>
    <row r="169" spans="5:13" ht="12.3">
      <c r="E169" s="523"/>
      <c r="G169" s="524"/>
      <c r="H169" s="524"/>
      <c r="I169" s="524"/>
      <c r="J169" s="524"/>
      <c r="K169" s="568"/>
      <c r="M169" s="524"/>
    </row>
    <row r="170" spans="5:13" ht="12.3">
      <c r="E170" s="523"/>
      <c r="G170" s="524"/>
      <c r="H170" s="524"/>
      <c r="I170" s="524"/>
      <c r="J170" s="524"/>
      <c r="K170" s="568"/>
      <c r="M170" s="524"/>
    </row>
    <row r="171" spans="5:13" ht="12.3">
      <c r="E171" s="523"/>
      <c r="G171" s="524"/>
      <c r="H171" s="524"/>
      <c r="I171" s="524"/>
      <c r="J171" s="524"/>
      <c r="K171" s="568"/>
      <c r="M171" s="524"/>
    </row>
    <row r="172" spans="5:13" ht="12.3">
      <c r="E172" s="523"/>
      <c r="G172" s="524"/>
      <c r="H172" s="524"/>
      <c r="I172" s="524"/>
      <c r="J172" s="524"/>
      <c r="K172" s="568"/>
      <c r="M172" s="524"/>
    </row>
    <row r="173" spans="5:13" ht="12.3">
      <c r="E173" s="523"/>
      <c r="G173" s="524"/>
      <c r="H173" s="524"/>
      <c r="I173" s="524"/>
      <c r="J173" s="524"/>
      <c r="K173" s="568"/>
      <c r="M173" s="524"/>
    </row>
    <row r="174" spans="5:13" ht="12.3">
      <c r="E174" s="523"/>
      <c r="G174" s="524"/>
      <c r="H174" s="524"/>
      <c r="I174" s="524"/>
      <c r="J174" s="524"/>
      <c r="K174" s="568"/>
      <c r="M174" s="524"/>
    </row>
    <row r="175" spans="5:13" ht="12.3">
      <c r="E175" s="523"/>
      <c r="G175" s="524"/>
      <c r="H175" s="524"/>
      <c r="I175" s="524"/>
      <c r="J175" s="524"/>
      <c r="K175" s="568"/>
      <c r="M175" s="524"/>
    </row>
    <row r="176" spans="5:13" ht="12.3">
      <c r="E176" s="523"/>
      <c r="G176" s="524"/>
      <c r="H176" s="524"/>
      <c r="I176" s="524"/>
      <c r="J176" s="524"/>
      <c r="K176" s="568"/>
      <c r="M176" s="524"/>
    </row>
    <row r="177" spans="5:13" ht="12.3">
      <c r="E177" s="523"/>
      <c r="G177" s="524"/>
      <c r="H177" s="524"/>
      <c r="I177" s="524"/>
      <c r="J177" s="524"/>
      <c r="K177" s="568"/>
      <c r="M177" s="524"/>
    </row>
    <row r="178" spans="5:13" ht="12.3">
      <c r="E178" s="523"/>
      <c r="G178" s="524"/>
      <c r="H178" s="524"/>
      <c r="I178" s="524"/>
      <c r="J178" s="524"/>
      <c r="K178" s="568"/>
      <c r="M178" s="524"/>
    </row>
    <row r="179" spans="5:13" ht="12.3">
      <c r="E179" s="523"/>
      <c r="G179" s="524"/>
      <c r="H179" s="524"/>
      <c r="I179" s="524"/>
      <c r="J179" s="524"/>
      <c r="K179" s="568"/>
      <c r="M179" s="524"/>
    </row>
    <row r="180" spans="5:13" ht="12.3">
      <c r="E180" s="523"/>
      <c r="G180" s="524"/>
      <c r="H180" s="524"/>
      <c r="I180" s="524"/>
      <c r="J180" s="524"/>
      <c r="K180" s="568"/>
      <c r="M180" s="524"/>
    </row>
    <row r="181" spans="5:13" ht="12.3">
      <c r="E181" s="523"/>
      <c r="G181" s="524"/>
      <c r="H181" s="524"/>
      <c r="I181" s="524"/>
      <c r="J181" s="524"/>
      <c r="K181" s="568"/>
      <c r="M181" s="524"/>
    </row>
    <row r="182" spans="5:13" ht="12.3">
      <c r="E182" s="523"/>
      <c r="G182" s="524"/>
      <c r="H182" s="524"/>
      <c r="I182" s="524"/>
      <c r="J182" s="524"/>
      <c r="K182" s="568"/>
      <c r="M182" s="524"/>
    </row>
    <row r="183" spans="5:13" ht="12.3">
      <c r="E183" s="523"/>
      <c r="G183" s="524"/>
      <c r="H183" s="524"/>
      <c r="I183" s="524"/>
      <c r="J183" s="524"/>
      <c r="K183" s="568"/>
      <c r="M183" s="524"/>
    </row>
    <row r="184" spans="5:13" ht="12.3">
      <c r="E184" s="523"/>
      <c r="G184" s="524"/>
      <c r="H184" s="524"/>
      <c r="I184" s="524"/>
      <c r="J184" s="524"/>
      <c r="K184" s="568"/>
      <c r="M184" s="524"/>
    </row>
    <row r="185" spans="5:13" ht="12.3">
      <c r="E185" s="523"/>
      <c r="G185" s="524"/>
      <c r="H185" s="524"/>
      <c r="I185" s="524"/>
      <c r="J185" s="524"/>
      <c r="K185" s="568"/>
      <c r="M185" s="524"/>
    </row>
    <row r="186" spans="5:13" ht="12.3">
      <c r="E186" s="523"/>
      <c r="G186" s="524"/>
      <c r="H186" s="524"/>
      <c r="I186" s="524"/>
      <c r="J186" s="524"/>
      <c r="K186" s="568"/>
      <c r="M186" s="524"/>
    </row>
    <row r="187" spans="5:13" ht="12.3">
      <c r="E187" s="523"/>
      <c r="G187" s="524"/>
      <c r="H187" s="524"/>
      <c r="I187" s="524"/>
      <c r="J187" s="524"/>
      <c r="K187" s="568"/>
      <c r="M187" s="524"/>
    </row>
    <row r="188" spans="5:13" ht="12.3">
      <c r="E188" s="523"/>
      <c r="G188" s="524"/>
      <c r="H188" s="524"/>
      <c r="I188" s="524"/>
      <c r="J188" s="524"/>
      <c r="K188" s="568"/>
      <c r="M188" s="524"/>
    </row>
    <row r="189" spans="5:13" ht="12.3">
      <c r="E189" s="523"/>
      <c r="G189" s="524"/>
      <c r="H189" s="524"/>
      <c r="I189" s="524"/>
      <c r="J189" s="524"/>
      <c r="K189" s="568"/>
      <c r="M189" s="524"/>
    </row>
    <row r="190" spans="5:13" ht="12.3">
      <c r="E190" s="523"/>
      <c r="G190" s="524"/>
      <c r="H190" s="524"/>
      <c r="I190" s="524"/>
      <c r="J190" s="524"/>
      <c r="K190" s="568"/>
      <c r="M190" s="524"/>
    </row>
    <row r="191" spans="5:13" ht="12.3">
      <c r="E191" s="523"/>
      <c r="G191" s="524"/>
      <c r="H191" s="524"/>
      <c r="I191" s="524"/>
      <c r="J191" s="524"/>
      <c r="K191" s="568"/>
      <c r="M191" s="524"/>
    </row>
    <row r="192" spans="5:13" ht="12.3">
      <c r="E192" s="523"/>
      <c r="G192" s="524"/>
      <c r="H192" s="524"/>
      <c r="I192" s="524"/>
      <c r="J192" s="524"/>
      <c r="K192" s="568"/>
      <c r="M192" s="524"/>
    </row>
    <row r="193" spans="5:13" ht="12.3">
      <c r="E193" s="523"/>
      <c r="G193" s="524"/>
      <c r="H193" s="524"/>
      <c r="I193" s="524"/>
      <c r="J193" s="524"/>
      <c r="K193" s="568"/>
      <c r="M193" s="524"/>
    </row>
    <row r="194" spans="5:13" ht="12.3">
      <c r="E194" s="523"/>
      <c r="G194" s="524"/>
      <c r="H194" s="524"/>
      <c r="I194" s="524"/>
      <c r="J194" s="524"/>
      <c r="K194" s="568"/>
      <c r="M194" s="524"/>
    </row>
    <row r="195" spans="5:13" ht="12.3">
      <c r="E195" s="523"/>
      <c r="G195" s="524"/>
      <c r="H195" s="524"/>
      <c r="I195" s="524"/>
      <c r="J195" s="524"/>
      <c r="K195" s="568"/>
      <c r="M195" s="524"/>
    </row>
    <row r="196" spans="5:13" ht="12.3">
      <c r="E196" s="523"/>
      <c r="G196" s="524"/>
      <c r="H196" s="524"/>
      <c r="I196" s="524"/>
      <c r="J196" s="524"/>
      <c r="K196" s="568"/>
      <c r="M196" s="524"/>
    </row>
    <row r="197" spans="5:13" ht="12.3">
      <c r="E197" s="523"/>
      <c r="G197" s="524"/>
      <c r="H197" s="524"/>
      <c r="I197" s="524"/>
      <c r="J197" s="524"/>
      <c r="K197" s="568"/>
      <c r="M197" s="524"/>
    </row>
    <row r="198" spans="5:13" ht="12.3">
      <c r="E198" s="523"/>
      <c r="G198" s="524"/>
      <c r="H198" s="524"/>
      <c r="I198" s="524"/>
      <c r="J198" s="524"/>
      <c r="K198" s="568"/>
      <c r="M198" s="524"/>
    </row>
    <row r="199" spans="5:13" ht="12.3">
      <c r="E199" s="523"/>
      <c r="G199" s="524"/>
      <c r="H199" s="524"/>
      <c r="I199" s="524"/>
      <c r="J199" s="524"/>
      <c r="K199" s="568"/>
      <c r="M199" s="524"/>
    </row>
    <row r="200" spans="5:13" ht="12.3">
      <c r="E200" s="523"/>
      <c r="G200" s="524"/>
      <c r="H200" s="524"/>
      <c r="I200" s="524"/>
      <c r="J200" s="524"/>
      <c r="K200" s="568"/>
      <c r="M200" s="524"/>
    </row>
    <row r="201" spans="5:13" ht="12.3">
      <c r="E201" s="523"/>
      <c r="G201" s="524"/>
      <c r="H201" s="524"/>
      <c r="I201" s="524"/>
      <c r="J201" s="524"/>
      <c r="K201" s="568"/>
      <c r="M201" s="524"/>
    </row>
    <row r="202" spans="5:13" ht="12.3">
      <c r="E202" s="523"/>
      <c r="G202" s="524"/>
      <c r="H202" s="524"/>
      <c r="I202" s="524"/>
      <c r="J202" s="524"/>
      <c r="K202" s="568"/>
      <c r="M202" s="524"/>
    </row>
    <row r="203" spans="5:13" ht="12.3">
      <c r="E203" s="523"/>
      <c r="G203" s="524"/>
      <c r="H203" s="524"/>
      <c r="I203" s="524"/>
      <c r="J203" s="524"/>
      <c r="K203" s="568"/>
      <c r="M203" s="524"/>
    </row>
    <row r="204" spans="5:13" ht="12.3">
      <c r="E204" s="523"/>
      <c r="G204" s="524"/>
      <c r="H204" s="524"/>
      <c r="I204" s="524"/>
      <c r="J204" s="524"/>
      <c r="K204" s="568"/>
      <c r="M204" s="524"/>
    </row>
    <row r="205" spans="5:13" ht="12.3">
      <c r="E205" s="523"/>
      <c r="G205" s="524"/>
      <c r="H205" s="524"/>
      <c r="I205" s="524"/>
      <c r="J205" s="524"/>
      <c r="K205" s="568"/>
      <c r="M205" s="524"/>
    </row>
    <row r="206" spans="5:13" ht="12.3">
      <c r="E206" s="523"/>
      <c r="G206" s="524"/>
      <c r="H206" s="524"/>
      <c r="I206" s="524"/>
      <c r="J206" s="524"/>
      <c r="K206" s="568"/>
      <c r="M206" s="524"/>
    </row>
    <row r="207" spans="5:13" ht="12.3">
      <c r="E207" s="523"/>
      <c r="G207" s="524"/>
      <c r="H207" s="524"/>
      <c r="I207" s="524"/>
      <c r="J207" s="524"/>
      <c r="K207" s="568"/>
      <c r="M207" s="524"/>
    </row>
    <row r="208" spans="5:13" ht="12.3">
      <c r="E208" s="523"/>
      <c r="G208" s="524"/>
      <c r="H208" s="524"/>
      <c r="I208" s="524"/>
      <c r="J208" s="524"/>
      <c r="K208" s="568"/>
      <c r="M208" s="524"/>
    </row>
    <row r="209" spans="5:13" ht="12.3">
      <c r="E209" s="523"/>
      <c r="G209" s="524"/>
      <c r="H209" s="524"/>
      <c r="I209" s="524"/>
      <c r="J209" s="524"/>
      <c r="K209" s="568"/>
      <c r="M209" s="524"/>
    </row>
    <row r="210" spans="5:13" ht="12.3">
      <c r="E210" s="523"/>
      <c r="G210" s="524"/>
      <c r="H210" s="524"/>
      <c r="I210" s="524"/>
      <c r="J210" s="524"/>
      <c r="K210" s="568"/>
      <c r="M210" s="524"/>
    </row>
    <row r="211" spans="5:13" ht="12.3">
      <c r="E211" s="523"/>
      <c r="G211" s="524"/>
      <c r="H211" s="524"/>
      <c r="I211" s="524"/>
      <c r="J211" s="524"/>
      <c r="K211" s="568"/>
      <c r="M211" s="524"/>
    </row>
    <row r="212" spans="5:13" ht="12.3">
      <c r="E212" s="523"/>
      <c r="G212" s="524"/>
      <c r="H212" s="524"/>
      <c r="I212" s="524"/>
      <c r="J212" s="524"/>
      <c r="K212" s="568"/>
      <c r="M212" s="524"/>
    </row>
    <row r="213" spans="5:13" ht="12.3">
      <c r="E213" s="523"/>
      <c r="G213" s="524"/>
      <c r="H213" s="524"/>
      <c r="I213" s="524"/>
      <c r="J213" s="524"/>
      <c r="K213" s="568"/>
      <c r="M213" s="524"/>
    </row>
    <row r="214" spans="5:13" ht="12.3">
      <c r="E214" s="523"/>
      <c r="G214" s="524"/>
      <c r="H214" s="524"/>
      <c r="I214" s="524"/>
      <c r="J214" s="524"/>
      <c r="K214" s="568"/>
      <c r="M214" s="524"/>
    </row>
    <row r="215" spans="5:13" ht="12.3">
      <c r="E215" s="523"/>
      <c r="G215" s="524"/>
      <c r="H215" s="524"/>
      <c r="I215" s="524"/>
      <c r="J215" s="524"/>
      <c r="K215" s="568"/>
      <c r="M215" s="524"/>
    </row>
    <row r="216" spans="5:13" ht="12.3">
      <c r="E216" s="523"/>
      <c r="G216" s="524"/>
      <c r="H216" s="524"/>
      <c r="I216" s="524"/>
      <c r="J216" s="524"/>
      <c r="K216" s="568"/>
      <c r="M216" s="524"/>
    </row>
    <row r="217" spans="5:13" ht="12.3">
      <c r="E217" s="523"/>
      <c r="G217" s="524"/>
      <c r="H217" s="524"/>
      <c r="I217" s="524"/>
      <c r="J217" s="524"/>
      <c r="K217" s="568"/>
      <c r="M217" s="524"/>
    </row>
    <row r="218" spans="5:13" ht="12.3">
      <c r="E218" s="523"/>
      <c r="G218" s="524"/>
      <c r="H218" s="524"/>
      <c r="I218" s="524"/>
      <c r="J218" s="524"/>
      <c r="K218" s="568"/>
      <c r="M218" s="524"/>
    </row>
    <row r="219" spans="5:13" ht="12.3">
      <c r="E219" s="523"/>
      <c r="G219" s="524"/>
      <c r="H219" s="524"/>
      <c r="I219" s="524"/>
      <c r="J219" s="524"/>
      <c r="K219" s="568"/>
      <c r="M219" s="524"/>
    </row>
    <row r="220" spans="5:13" ht="12.3">
      <c r="E220" s="523"/>
      <c r="G220" s="524"/>
      <c r="H220" s="524"/>
      <c r="I220" s="524"/>
      <c r="J220" s="524"/>
      <c r="K220" s="568"/>
      <c r="M220" s="524"/>
    </row>
    <row r="221" spans="5:13" ht="12.3">
      <c r="E221" s="523"/>
      <c r="G221" s="524"/>
      <c r="H221" s="524"/>
      <c r="I221" s="524"/>
      <c r="J221" s="524"/>
      <c r="K221" s="568"/>
      <c r="M221" s="524"/>
    </row>
    <row r="222" spans="5:13" ht="12.3">
      <c r="E222" s="523"/>
      <c r="G222" s="524"/>
      <c r="H222" s="524"/>
      <c r="I222" s="524"/>
      <c r="J222" s="524"/>
      <c r="K222" s="568"/>
      <c r="M222" s="524"/>
    </row>
    <row r="223" spans="5:13" ht="12.3">
      <c r="E223" s="523"/>
      <c r="G223" s="524"/>
      <c r="H223" s="524"/>
      <c r="I223" s="524"/>
      <c r="J223" s="524"/>
      <c r="K223" s="568"/>
      <c r="M223" s="524"/>
    </row>
    <row r="224" spans="5:13" ht="12.3">
      <c r="E224" s="523"/>
      <c r="G224" s="524"/>
      <c r="H224" s="524"/>
      <c r="I224" s="524"/>
      <c r="J224" s="524"/>
      <c r="K224" s="568"/>
      <c r="M224" s="524"/>
    </row>
    <row r="225" spans="5:13" ht="12.3">
      <c r="E225" s="523"/>
      <c r="G225" s="524"/>
      <c r="H225" s="524"/>
      <c r="I225" s="524"/>
      <c r="J225" s="524"/>
      <c r="K225" s="568"/>
      <c r="M225" s="524"/>
    </row>
    <row r="226" spans="5:13" ht="12.3">
      <c r="E226" s="523"/>
      <c r="G226" s="524"/>
      <c r="H226" s="524"/>
      <c r="I226" s="524"/>
      <c r="J226" s="524"/>
      <c r="K226" s="568"/>
      <c r="M226" s="524"/>
    </row>
    <row r="227" spans="5:13" ht="12.3">
      <c r="E227" s="523"/>
      <c r="G227" s="524"/>
      <c r="H227" s="524"/>
      <c r="I227" s="524"/>
      <c r="J227" s="524"/>
      <c r="K227" s="568"/>
      <c r="M227" s="524"/>
    </row>
    <row r="228" spans="5:13" ht="12.3">
      <c r="E228" s="523"/>
      <c r="G228" s="524"/>
      <c r="H228" s="524"/>
      <c r="I228" s="524"/>
      <c r="J228" s="524"/>
      <c r="K228" s="568"/>
      <c r="M228" s="524"/>
    </row>
    <row r="229" spans="5:13" ht="12.3">
      <c r="E229" s="523"/>
      <c r="G229" s="524"/>
      <c r="H229" s="524"/>
      <c r="I229" s="524"/>
      <c r="J229" s="524"/>
      <c r="K229" s="568"/>
      <c r="M229" s="524"/>
    </row>
    <row r="230" spans="5:13" ht="12.3">
      <c r="E230" s="523"/>
      <c r="G230" s="524"/>
      <c r="H230" s="524"/>
      <c r="I230" s="524"/>
      <c r="J230" s="524"/>
      <c r="K230" s="568"/>
      <c r="M230" s="524"/>
    </row>
    <row r="231" spans="5:13" ht="12.3">
      <c r="E231" s="523"/>
      <c r="G231" s="524"/>
      <c r="H231" s="524"/>
      <c r="I231" s="524"/>
      <c r="J231" s="524"/>
      <c r="K231" s="568"/>
      <c r="M231" s="524"/>
    </row>
    <row r="232" spans="5:13" ht="12.3">
      <c r="E232" s="523"/>
      <c r="G232" s="524"/>
      <c r="H232" s="524"/>
      <c r="I232" s="524"/>
      <c r="J232" s="524"/>
      <c r="K232" s="568"/>
      <c r="M232" s="524"/>
    </row>
    <row r="233" spans="5:13" ht="12.3">
      <c r="E233" s="523"/>
      <c r="G233" s="524"/>
      <c r="H233" s="524"/>
      <c r="I233" s="524"/>
      <c r="J233" s="524"/>
      <c r="K233" s="568"/>
      <c r="M233" s="524"/>
    </row>
    <row r="234" spans="5:13" ht="12.3">
      <c r="E234" s="523"/>
      <c r="G234" s="524"/>
      <c r="H234" s="524"/>
      <c r="I234" s="524"/>
      <c r="J234" s="524"/>
      <c r="K234" s="568"/>
      <c r="M234" s="524"/>
    </row>
    <row r="235" spans="5:13" ht="12.3">
      <c r="E235" s="523"/>
      <c r="G235" s="524"/>
      <c r="H235" s="524"/>
      <c r="I235" s="524"/>
      <c r="J235" s="524"/>
      <c r="K235" s="568"/>
      <c r="M235" s="524"/>
    </row>
    <row r="236" spans="5:13" ht="12.3">
      <c r="E236" s="523"/>
      <c r="G236" s="524"/>
      <c r="H236" s="524"/>
      <c r="I236" s="524"/>
      <c r="J236" s="524"/>
      <c r="K236" s="568"/>
      <c r="M236" s="524"/>
    </row>
    <row r="237" spans="5:13" ht="12.3">
      <c r="E237" s="523"/>
      <c r="G237" s="524"/>
      <c r="H237" s="524"/>
      <c r="I237" s="524"/>
      <c r="J237" s="524"/>
      <c r="K237" s="568"/>
      <c r="M237" s="524"/>
    </row>
    <row r="238" spans="5:13" ht="12.3">
      <c r="E238" s="523"/>
      <c r="G238" s="524"/>
      <c r="H238" s="524"/>
      <c r="I238" s="524"/>
      <c r="J238" s="524"/>
      <c r="K238" s="568"/>
      <c r="M238" s="524"/>
    </row>
    <row r="239" spans="5:13" ht="12.3">
      <c r="E239" s="523"/>
      <c r="G239" s="524"/>
      <c r="H239" s="524"/>
      <c r="I239" s="524"/>
      <c r="J239" s="524"/>
      <c r="K239" s="568"/>
      <c r="M239" s="524"/>
    </row>
    <row r="240" spans="5:13" ht="12.3">
      <c r="E240" s="523"/>
      <c r="G240" s="524"/>
      <c r="H240" s="524"/>
      <c r="I240" s="524"/>
      <c r="J240" s="524"/>
      <c r="K240" s="568"/>
      <c r="M240" s="524"/>
    </row>
    <row r="241" spans="5:13" ht="12.3">
      <c r="E241" s="523"/>
      <c r="G241" s="524"/>
      <c r="H241" s="524"/>
      <c r="I241" s="524"/>
      <c r="J241" s="524"/>
      <c r="K241" s="568"/>
      <c r="M241" s="524"/>
    </row>
    <row r="242" spans="5:13" ht="12.3">
      <c r="E242" s="523"/>
      <c r="G242" s="524"/>
      <c r="H242" s="524"/>
      <c r="I242" s="524"/>
      <c r="J242" s="524"/>
      <c r="K242" s="568"/>
      <c r="M242" s="524"/>
    </row>
    <row r="243" spans="5:13" ht="12.3">
      <c r="E243" s="523"/>
      <c r="G243" s="524"/>
      <c r="H243" s="524"/>
      <c r="I243" s="524"/>
      <c r="J243" s="524"/>
      <c r="K243" s="568"/>
      <c r="M243" s="524"/>
    </row>
    <row r="244" spans="5:13" ht="12.3">
      <c r="E244" s="523"/>
      <c r="G244" s="524"/>
      <c r="H244" s="524"/>
      <c r="I244" s="524"/>
      <c r="J244" s="524"/>
      <c r="K244" s="568"/>
      <c r="M244" s="524"/>
    </row>
    <row r="245" spans="5:13" ht="12.3">
      <c r="E245" s="523"/>
      <c r="G245" s="524"/>
      <c r="H245" s="524"/>
      <c r="I245" s="524"/>
      <c r="J245" s="524"/>
      <c r="K245" s="568"/>
      <c r="M245" s="524"/>
    </row>
    <row r="246" spans="5:13" ht="12.3">
      <c r="E246" s="523"/>
      <c r="G246" s="524"/>
      <c r="H246" s="524"/>
      <c r="I246" s="524"/>
      <c r="J246" s="524"/>
      <c r="K246" s="568"/>
      <c r="M246" s="524"/>
    </row>
    <row r="247" spans="5:13" ht="12.3">
      <c r="E247" s="523"/>
      <c r="G247" s="524"/>
      <c r="H247" s="524"/>
      <c r="I247" s="524"/>
      <c r="J247" s="524"/>
      <c r="K247" s="568"/>
      <c r="M247" s="524"/>
    </row>
    <row r="248" spans="5:13" ht="12.3">
      <c r="E248" s="523"/>
      <c r="G248" s="524"/>
      <c r="H248" s="524"/>
      <c r="I248" s="524"/>
      <c r="J248" s="524"/>
      <c r="K248" s="568"/>
      <c r="M248" s="524"/>
    </row>
    <row r="249" spans="5:13" ht="12.3">
      <c r="E249" s="523"/>
      <c r="G249" s="524"/>
      <c r="H249" s="524"/>
      <c r="I249" s="524"/>
      <c r="J249" s="524"/>
      <c r="K249" s="568"/>
      <c r="M249" s="524"/>
    </row>
    <row r="250" spans="5:13" ht="12.3">
      <c r="E250" s="523"/>
      <c r="G250" s="524"/>
      <c r="H250" s="524"/>
      <c r="I250" s="524"/>
      <c r="J250" s="524"/>
      <c r="K250" s="568"/>
      <c r="M250" s="524"/>
    </row>
    <row r="251" spans="5:13" ht="12.3">
      <c r="E251" s="523"/>
      <c r="G251" s="524"/>
      <c r="H251" s="524"/>
      <c r="I251" s="524"/>
      <c r="J251" s="524"/>
      <c r="K251" s="568"/>
      <c r="M251" s="524"/>
    </row>
    <row r="252" spans="5:13" ht="12.3">
      <c r="E252" s="523"/>
      <c r="G252" s="524"/>
      <c r="H252" s="524"/>
      <c r="I252" s="524"/>
      <c r="J252" s="524"/>
      <c r="K252" s="568"/>
      <c r="M252" s="524"/>
    </row>
    <row r="253" spans="5:13" ht="12.3">
      <c r="E253" s="523"/>
      <c r="G253" s="524"/>
      <c r="H253" s="524"/>
      <c r="I253" s="524"/>
      <c r="J253" s="524"/>
      <c r="K253" s="568"/>
      <c r="M253" s="524"/>
    </row>
    <row r="254" spans="5:13" ht="12.3">
      <c r="E254" s="523"/>
      <c r="G254" s="524"/>
      <c r="H254" s="524"/>
      <c r="I254" s="524"/>
      <c r="J254" s="524"/>
      <c r="K254" s="568"/>
      <c r="M254" s="524"/>
    </row>
    <row r="255" spans="5:13" ht="12.3">
      <c r="E255" s="523"/>
      <c r="G255" s="524"/>
      <c r="H255" s="524"/>
      <c r="I255" s="524"/>
      <c r="J255" s="524"/>
      <c r="K255" s="568"/>
      <c r="M255" s="524"/>
    </row>
    <row r="256" spans="5:13" ht="12.3">
      <c r="E256" s="523"/>
      <c r="G256" s="524"/>
      <c r="H256" s="524"/>
      <c r="I256" s="524"/>
      <c r="J256" s="524"/>
      <c r="K256" s="568"/>
      <c r="M256" s="524"/>
    </row>
    <row r="257" spans="5:13" ht="12.3">
      <c r="E257" s="523"/>
      <c r="G257" s="524"/>
      <c r="H257" s="524"/>
      <c r="I257" s="524"/>
      <c r="J257" s="524"/>
      <c r="K257" s="568"/>
      <c r="M257" s="524"/>
    </row>
    <row r="258" spans="5:13" ht="12.3">
      <c r="E258" s="523"/>
      <c r="G258" s="524"/>
      <c r="H258" s="524"/>
      <c r="I258" s="524"/>
      <c r="J258" s="524"/>
      <c r="K258" s="568"/>
      <c r="M258" s="524"/>
    </row>
    <row r="259" spans="5:13" ht="12.3">
      <c r="E259" s="523"/>
      <c r="G259" s="524"/>
      <c r="H259" s="524"/>
      <c r="I259" s="524"/>
      <c r="J259" s="524"/>
      <c r="K259" s="568"/>
      <c r="M259" s="524"/>
    </row>
    <row r="260" spans="5:13" ht="12.3">
      <c r="E260" s="523"/>
      <c r="G260" s="524"/>
      <c r="H260" s="524"/>
      <c r="I260" s="524"/>
      <c r="J260" s="524"/>
      <c r="K260" s="568"/>
      <c r="M260" s="524"/>
    </row>
    <row r="261" spans="5:13" ht="12.3">
      <c r="E261" s="523"/>
      <c r="G261" s="524"/>
      <c r="H261" s="524"/>
      <c r="I261" s="524"/>
      <c r="J261" s="524"/>
      <c r="K261" s="568"/>
      <c r="M261" s="524"/>
    </row>
    <row r="262" spans="5:13" ht="12.3">
      <c r="E262" s="523"/>
      <c r="G262" s="524"/>
      <c r="H262" s="524"/>
      <c r="I262" s="524"/>
      <c r="J262" s="524"/>
      <c r="K262" s="568"/>
      <c r="M262" s="524"/>
    </row>
    <row r="263" spans="5:13" ht="12.3">
      <c r="E263" s="523"/>
      <c r="G263" s="524"/>
      <c r="H263" s="524"/>
      <c r="I263" s="524"/>
      <c r="J263" s="524"/>
      <c r="K263" s="568"/>
      <c r="M263" s="524"/>
    </row>
    <row r="264" spans="5:13" ht="12.3">
      <c r="E264" s="523"/>
      <c r="G264" s="524"/>
      <c r="H264" s="524"/>
      <c r="I264" s="524"/>
      <c r="J264" s="524"/>
      <c r="K264" s="568"/>
      <c r="M264" s="524"/>
    </row>
    <row r="265" spans="5:13" ht="12.3">
      <c r="E265" s="523"/>
      <c r="G265" s="524"/>
      <c r="H265" s="524"/>
      <c r="I265" s="524"/>
      <c r="J265" s="524"/>
      <c r="K265" s="568"/>
      <c r="M265" s="524"/>
    </row>
    <row r="266" spans="5:13" ht="12.3">
      <c r="E266" s="523"/>
      <c r="G266" s="524"/>
      <c r="H266" s="524"/>
      <c r="I266" s="524"/>
      <c r="J266" s="524"/>
      <c r="K266" s="568"/>
      <c r="M266" s="524"/>
    </row>
    <row r="267" spans="5:13" ht="12.3">
      <c r="E267" s="523"/>
      <c r="G267" s="524"/>
      <c r="H267" s="524"/>
      <c r="I267" s="524"/>
      <c r="J267" s="524"/>
      <c r="K267" s="568"/>
      <c r="M267" s="524"/>
    </row>
    <row r="268" spans="5:13" ht="12.3">
      <c r="E268" s="523"/>
      <c r="G268" s="524"/>
      <c r="H268" s="524"/>
      <c r="I268" s="524"/>
      <c r="J268" s="524"/>
      <c r="K268" s="568"/>
      <c r="M268" s="524"/>
    </row>
    <row r="269" spans="5:13" ht="12.3">
      <c r="E269" s="523"/>
      <c r="G269" s="524"/>
      <c r="H269" s="524"/>
      <c r="I269" s="524"/>
      <c r="J269" s="524"/>
      <c r="K269" s="568"/>
      <c r="M269" s="524"/>
    </row>
    <row r="270" spans="5:13" ht="12.3">
      <c r="E270" s="523"/>
      <c r="G270" s="524"/>
      <c r="H270" s="524"/>
      <c r="I270" s="524"/>
      <c r="J270" s="524"/>
      <c r="K270" s="568"/>
      <c r="M270" s="524"/>
    </row>
    <row r="271" spans="5:13" ht="12.3">
      <c r="E271" s="523"/>
      <c r="G271" s="524"/>
      <c r="H271" s="524"/>
      <c r="I271" s="524"/>
      <c r="J271" s="524"/>
      <c r="K271" s="568"/>
      <c r="M271" s="524"/>
    </row>
    <row r="272" spans="5:13" ht="12.3">
      <c r="E272" s="523"/>
      <c r="G272" s="524"/>
      <c r="H272" s="524"/>
      <c r="I272" s="524"/>
      <c r="J272" s="524"/>
      <c r="K272" s="568"/>
      <c r="M272" s="524"/>
    </row>
    <row r="273" spans="5:13" ht="12.3">
      <c r="E273" s="523"/>
      <c r="G273" s="524"/>
      <c r="H273" s="524"/>
      <c r="I273" s="524"/>
      <c r="J273" s="524"/>
      <c r="K273" s="568"/>
      <c r="M273" s="524"/>
    </row>
    <row r="274" spans="5:13" ht="12.3">
      <c r="E274" s="523"/>
      <c r="G274" s="524"/>
      <c r="H274" s="524"/>
      <c r="I274" s="524"/>
      <c r="J274" s="524"/>
      <c r="K274" s="568"/>
      <c r="M274" s="524"/>
    </row>
    <row r="275" spans="5:13" ht="12.3">
      <c r="E275" s="523"/>
      <c r="G275" s="524"/>
      <c r="H275" s="524"/>
      <c r="I275" s="524"/>
      <c r="J275" s="524"/>
      <c r="K275" s="568"/>
      <c r="M275" s="524"/>
    </row>
    <row r="276" spans="5:13" ht="12.3">
      <c r="E276" s="523"/>
      <c r="G276" s="524"/>
      <c r="H276" s="524"/>
      <c r="I276" s="524"/>
      <c r="J276" s="524"/>
      <c r="K276" s="568"/>
      <c r="M276" s="524"/>
    </row>
    <row r="277" spans="5:13" ht="12.3">
      <c r="E277" s="523"/>
      <c r="G277" s="524"/>
      <c r="H277" s="524"/>
      <c r="I277" s="524"/>
      <c r="J277" s="524"/>
      <c r="K277" s="568"/>
      <c r="M277" s="524"/>
    </row>
    <row r="278" spans="5:13" ht="12.3">
      <c r="E278" s="523"/>
      <c r="G278" s="524"/>
      <c r="H278" s="524"/>
      <c r="I278" s="524"/>
      <c r="J278" s="524"/>
      <c r="K278" s="568"/>
      <c r="M278" s="524"/>
    </row>
    <row r="279" spans="5:13" ht="12.3">
      <c r="E279" s="523"/>
      <c r="G279" s="524"/>
      <c r="H279" s="524"/>
      <c r="I279" s="524"/>
      <c r="J279" s="524"/>
      <c r="K279" s="568"/>
      <c r="M279" s="524"/>
    </row>
    <row r="280" spans="5:13" ht="12.3">
      <c r="E280" s="523"/>
      <c r="G280" s="524"/>
      <c r="H280" s="524"/>
      <c r="I280" s="524"/>
      <c r="J280" s="524"/>
      <c r="K280" s="568"/>
      <c r="M280" s="524"/>
    </row>
    <row r="281" spans="5:13" ht="12.3">
      <c r="E281" s="523"/>
      <c r="G281" s="524"/>
      <c r="H281" s="524"/>
      <c r="I281" s="524"/>
      <c r="J281" s="524"/>
      <c r="K281" s="568"/>
      <c r="M281" s="524"/>
    </row>
    <row r="282" spans="5:13" ht="12.3">
      <c r="E282" s="523"/>
      <c r="G282" s="524"/>
      <c r="H282" s="524"/>
      <c r="I282" s="524"/>
      <c r="J282" s="524"/>
      <c r="K282" s="568"/>
      <c r="M282" s="524"/>
    </row>
    <row r="283" spans="5:13" ht="12.3">
      <c r="E283" s="523"/>
      <c r="G283" s="524"/>
      <c r="H283" s="524"/>
      <c r="I283" s="524"/>
      <c r="J283" s="524"/>
      <c r="K283" s="568"/>
      <c r="M283" s="524"/>
    </row>
    <row r="284" spans="5:13" ht="12.3">
      <c r="E284" s="523"/>
      <c r="G284" s="524"/>
      <c r="H284" s="524"/>
      <c r="I284" s="524"/>
      <c r="J284" s="524"/>
      <c r="K284" s="568"/>
      <c r="M284" s="524"/>
    </row>
    <row r="285" spans="5:13" ht="12.3">
      <c r="E285" s="523"/>
      <c r="G285" s="524"/>
      <c r="H285" s="524"/>
      <c r="I285" s="524"/>
      <c r="J285" s="524"/>
      <c r="K285" s="568"/>
      <c r="M285" s="524"/>
    </row>
    <row r="286" spans="5:13" ht="12.3">
      <c r="E286" s="523"/>
      <c r="G286" s="524"/>
      <c r="H286" s="524"/>
      <c r="I286" s="524"/>
      <c r="J286" s="524"/>
      <c r="K286" s="568"/>
      <c r="M286" s="524"/>
    </row>
    <row r="287" spans="5:13" ht="12.3">
      <c r="E287" s="523"/>
      <c r="G287" s="524"/>
      <c r="H287" s="524"/>
      <c r="I287" s="524"/>
      <c r="J287" s="524"/>
      <c r="K287" s="568"/>
      <c r="M287" s="524"/>
    </row>
    <row r="288" spans="5:13" ht="12.3">
      <c r="E288" s="523"/>
      <c r="G288" s="524"/>
      <c r="H288" s="524"/>
      <c r="I288" s="524"/>
      <c r="J288" s="524"/>
      <c r="K288" s="568"/>
      <c r="M288" s="524"/>
    </row>
    <row r="289" spans="5:13" ht="12.3">
      <c r="E289" s="523"/>
      <c r="G289" s="524"/>
      <c r="H289" s="524"/>
      <c r="I289" s="524"/>
      <c r="J289" s="524"/>
      <c r="K289" s="568"/>
      <c r="M289" s="524"/>
    </row>
    <row r="290" spans="5:13" ht="12.3">
      <c r="E290" s="523"/>
      <c r="G290" s="524"/>
      <c r="H290" s="524"/>
      <c r="I290" s="524"/>
      <c r="J290" s="524"/>
      <c r="K290" s="568"/>
      <c r="M290" s="524"/>
    </row>
    <row r="291" spans="5:13" ht="12.3">
      <c r="E291" s="523"/>
      <c r="G291" s="524"/>
      <c r="H291" s="524"/>
      <c r="I291" s="524"/>
      <c r="J291" s="524"/>
      <c r="K291" s="568"/>
      <c r="M291" s="524"/>
    </row>
    <row r="292" spans="5:13" ht="12.3">
      <c r="E292" s="523"/>
      <c r="G292" s="524"/>
      <c r="H292" s="524"/>
      <c r="I292" s="524"/>
      <c r="J292" s="524"/>
      <c r="K292" s="568"/>
      <c r="M292" s="524"/>
    </row>
    <row r="293" spans="5:13" ht="12.3">
      <c r="E293" s="523"/>
      <c r="G293" s="524"/>
      <c r="H293" s="524"/>
      <c r="I293" s="524"/>
      <c r="J293" s="524"/>
      <c r="K293" s="568"/>
      <c r="M293" s="524"/>
    </row>
    <row r="294" spans="5:13" ht="12.3">
      <c r="E294" s="523"/>
      <c r="G294" s="524"/>
      <c r="H294" s="524"/>
      <c r="I294" s="524"/>
      <c r="J294" s="524"/>
      <c r="K294" s="568"/>
      <c r="M294" s="524"/>
    </row>
    <row r="295" spans="5:13" ht="12.3">
      <c r="E295" s="523"/>
      <c r="G295" s="524"/>
      <c r="H295" s="524"/>
      <c r="I295" s="524"/>
      <c r="J295" s="524"/>
      <c r="K295" s="568"/>
      <c r="M295" s="524"/>
    </row>
    <row r="296" spans="5:13" ht="12.3">
      <c r="E296" s="523"/>
      <c r="G296" s="524"/>
      <c r="H296" s="524"/>
      <c r="I296" s="524"/>
      <c r="J296" s="524"/>
      <c r="K296" s="568"/>
      <c r="M296" s="524"/>
    </row>
    <row r="297" spans="5:13" ht="12.3">
      <c r="E297" s="523"/>
      <c r="G297" s="524"/>
      <c r="H297" s="524"/>
      <c r="I297" s="524"/>
      <c r="J297" s="524"/>
      <c r="K297" s="568"/>
      <c r="M297" s="524"/>
    </row>
    <row r="298" spans="5:13" ht="12.3">
      <c r="E298" s="523"/>
      <c r="G298" s="524"/>
      <c r="H298" s="524"/>
      <c r="I298" s="524"/>
      <c r="J298" s="524"/>
      <c r="K298" s="568"/>
      <c r="M298" s="524"/>
    </row>
    <row r="299" spans="5:13" ht="12.3">
      <c r="E299" s="523"/>
      <c r="G299" s="524"/>
      <c r="H299" s="524"/>
      <c r="I299" s="524"/>
      <c r="J299" s="524"/>
      <c r="K299" s="568"/>
      <c r="M299" s="524"/>
    </row>
    <row r="300" spans="5:13" ht="12.3">
      <c r="E300" s="523"/>
      <c r="G300" s="524"/>
      <c r="H300" s="524"/>
      <c r="I300" s="524"/>
      <c r="J300" s="524"/>
      <c r="K300" s="568"/>
      <c r="M300" s="524"/>
    </row>
    <row r="301" spans="5:13" ht="12.3">
      <c r="E301" s="523"/>
      <c r="G301" s="524"/>
      <c r="H301" s="524"/>
      <c r="I301" s="524"/>
      <c r="J301" s="524"/>
      <c r="K301" s="568"/>
      <c r="M301" s="524"/>
    </row>
    <row r="302" spans="5:13" ht="12.3">
      <c r="E302" s="523"/>
      <c r="G302" s="524"/>
      <c r="H302" s="524"/>
      <c r="I302" s="524"/>
      <c r="J302" s="524"/>
      <c r="K302" s="568"/>
      <c r="M302" s="524"/>
    </row>
    <row r="303" spans="5:13" ht="12.3">
      <c r="E303" s="523"/>
      <c r="G303" s="524"/>
      <c r="H303" s="524"/>
      <c r="I303" s="524"/>
      <c r="J303" s="524"/>
      <c r="K303" s="568"/>
      <c r="M303" s="524"/>
    </row>
    <row r="304" spans="5:13" ht="12.3">
      <c r="E304" s="523"/>
      <c r="G304" s="524"/>
      <c r="H304" s="524"/>
      <c r="I304" s="524"/>
      <c r="J304" s="524"/>
      <c r="K304" s="568"/>
      <c r="M304" s="524"/>
    </row>
    <row r="305" spans="5:13" ht="12.3">
      <c r="E305" s="523"/>
      <c r="G305" s="524"/>
      <c r="H305" s="524"/>
      <c r="I305" s="524"/>
      <c r="J305" s="524"/>
      <c r="K305" s="568"/>
      <c r="M305" s="524"/>
    </row>
    <row r="306" spans="5:13" ht="12.3">
      <c r="E306" s="523"/>
      <c r="G306" s="524"/>
      <c r="H306" s="524"/>
      <c r="I306" s="524"/>
      <c r="J306" s="524"/>
      <c r="K306" s="568"/>
      <c r="M306" s="524"/>
    </row>
    <row r="307" spans="5:13" ht="12.3">
      <c r="E307" s="523"/>
      <c r="G307" s="524"/>
      <c r="H307" s="524"/>
      <c r="I307" s="524"/>
      <c r="J307" s="524"/>
      <c r="K307" s="568"/>
      <c r="M307" s="524"/>
    </row>
    <row r="308" spans="5:13" ht="12.3">
      <c r="E308" s="523"/>
      <c r="G308" s="524"/>
      <c r="H308" s="524"/>
      <c r="I308" s="524"/>
      <c r="J308" s="524"/>
      <c r="K308" s="568"/>
      <c r="M308" s="524"/>
    </row>
    <row r="309" spans="5:13" ht="12.3">
      <c r="E309" s="523"/>
      <c r="G309" s="524"/>
      <c r="H309" s="524"/>
      <c r="I309" s="524"/>
      <c r="J309" s="524"/>
      <c r="K309" s="568"/>
      <c r="M309" s="524"/>
    </row>
    <row r="310" spans="5:13" ht="12.3">
      <c r="E310" s="523"/>
      <c r="G310" s="524"/>
      <c r="H310" s="524"/>
      <c r="I310" s="524"/>
      <c r="J310" s="524"/>
      <c r="K310" s="568"/>
      <c r="M310" s="524"/>
    </row>
    <row r="311" spans="5:13" ht="12.3">
      <c r="E311" s="523"/>
      <c r="G311" s="524"/>
      <c r="H311" s="524"/>
      <c r="I311" s="524"/>
      <c r="J311" s="524"/>
      <c r="K311" s="568"/>
      <c r="M311" s="524"/>
    </row>
    <row r="312" spans="5:13" ht="12.3">
      <c r="E312" s="523"/>
      <c r="G312" s="524"/>
      <c r="H312" s="524"/>
      <c r="I312" s="524"/>
      <c r="J312" s="524"/>
      <c r="K312" s="568"/>
      <c r="M312" s="524"/>
    </row>
    <row r="313" spans="5:13" ht="12.3">
      <c r="E313" s="523"/>
      <c r="G313" s="524"/>
      <c r="H313" s="524"/>
      <c r="I313" s="524"/>
      <c r="J313" s="524"/>
      <c r="K313" s="568"/>
      <c r="M313" s="524"/>
    </row>
    <row r="314" spans="5:13" ht="12.3">
      <c r="E314" s="523"/>
      <c r="G314" s="524"/>
      <c r="H314" s="524"/>
      <c r="I314" s="524"/>
      <c r="J314" s="524"/>
      <c r="K314" s="568"/>
      <c r="M314" s="524"/>
    </row>
    <row r="315" spans="5:13" ht="12.3">
      <c r="E315" s="523"/>
      <c r="G315" s="524"/>
      <c r="H315" s="524"/>
      <c r="I315" s="524"/>
      <c r="J315" s="524"/>
      <c r="K315" s="568"/>
      <c r="M315" s="524"/>
    </row>
    <row r="316" spans="5:13" ht="12.3">
      <c r="E316" s="523"/>
      <c r="G316" s="524"/>
      <c r="H316" s="524"/>
      <c r="I316" s="524"/>
      <c r="J316" s="524"/>
      <c r="K316" s="568"/>
      <c r="M316" s="524"/>
    </row>
    <row r="317" spans="5:13" ht="12.3">
      <c r="E317" s="523"/>
      <c r="G317" s="524"/>
      <c r="H317" s="524"/>
      <c r="I317" s="524"/>
      <c r="J317" s="524"/>
      <c r="K317" s="568"/>
      <c r="M317" s="524"/>
    </row>
    <row r="318" spans="5:13" ht="12.3">
      <c r="E318" s="523"/>
      <c r="G318" s="524"/>
      <c r="H318" s="524"/>
      <c r="I318" s="524"/>
      <c r="J318" s="524"/>
      <c r="K318" s="568"/>
      <c r="M318" s="524"/>
    </row>
    <row r="319" spans="5:13" ht="12.3">
      <c r="E319" s="523"/>
      <c r="G319" s="524"/>
      <c r="H319" s="524"/>
      <c r="I319" s="524"/>
      <c r="J319" s="524"/>
      <c r="K319" s="568"/>
      <c r="M319" s="524"/>
    </row>
    <row r="320" spans="5:13" ht="12.3">
      <c r="E320" s="523"/>
      <c r="G320" s="524"/>
      <c r="H320" s="524"/>
      <c r="I320" s="524"/>
      <c r="J320" s="524"/>
      <c r="K320" s="568"/>
      <c r="M320" s="524"/>
    </row>
    <row r="321" spans="5:13" ht="12.3">
      <c r="E321" s="523"/>
      <c r="G321" s="524"/>
      <c r="H321" s="524"/>
      <c r="I321" s="524"/>
      <c r="J321" s="524"/>
      <c r="K321" s="568"/>
      <c r="M321" s="524"/>
    </row>
    <row r="322" spans="5:13" ht="12.3">
      <c r="E322" s="523"/>
      <c r="G322" s="524"/>
      <c r="H322" s="524"/>
      <c r="I322" s="524"/>
      <c r="J322" s="524"/>
      <c r="K322" s="568"/>
      <c r="M322" s="524"/>
    </row>
    <row r="323" spans="5:13" ht="12.3">
      <c r="E323" s="523"/>
      <c r="G323" s="524"/>
      <c r="H323" s="524"/>
      <c r="I323" s="524"/>
      <c r="J323" s="524"/>
      <c r="K323" s="568"/>
      <c r="M323" s="524"/>
    </row>
    <row r="324" spans="5:13" ht="12.3">
      <c r="E324" s="523"/>
      <c r="G324" s="524"/>
      <c r="H324" s="524"/>
      <c r="I324" s="524"/>
      <c r="J324" s="524"/>
      <c r="K324" s="568"/>
      <c r="M324" s="524"/>
    </row>
    <row r="325" spans="5:13" ht="12.3">
      <c r="E325" s="523"/>
      <c r="G325" s="524"/>
      <c r="H325" s="524"/>
      <c r="I325" s="524"/>
      <c r="J325" s="524"/>
      <c r="K325" s="568"/>
      <c r="M325" s="524"/>
    </row>
    <row r="326" spans="5:13" ht="12.3">
      <c r="E326" s="523"/>
      <c r="G326" s="524"/>
      <c r="H326" s="524"/>
      <c r="I326" s="524"/>
      <c r="J326" s="524"/>
      <c r="K326" s="568"/>
      <c r="M326" s="524"/>
    </row>
    <row r="327" spans="5:13" ht="12.3">
      <c r="E327" s="523"/>
      <c r="G327" s="524"/>
      <c r="H327" s="524"/>
      <c r="I327" s="524"/>
      <c r="J327" s="524"/>
      <c r="K327" s="568"/>
      <c r="M327" s="524"/>
    </row>
    <row r="328" spans="5:13" ht="12.3">
      <c r="E328" s="523"/>
      <c r="G328" s="524"/>
      <c r="H328" s="524"/>
      <c r="I328" s="524"/>
      <c r="J328" s="524"/>
      <c r="K328" s="568"/>
      <c r="M328" s="524"/>
    </row>
    <row r="329" spans="5:13" ht="12.3">
      <c r="E329" s="523"/>
      <c r="G329" s="524"/>
      <c r="H329" s="524"/>
      <c r="I329" s="524"/>
      <c r="J329" s="524"/>
      <c r="K329" s="568"/>
      <c r="M329" s="524"/>
    </row>
    <row r="330" spans="5:13" ht="12.3">
      <c r="E330" s="523"/>
      <c r="G330" s="524"/>
      <c r="H330" s="524"/>
      <c r="I330" s="524"/>
      <c r="J330" s="524"/>
      <c r="K330" s="568"/>
      <c r="M330" s="524"/>
    </row>
    <row r="331" spans="5:13" ht="12.3">
      <c r="E331" s="523"/>
      <c r="G331" s="524"/>
      <c r="H331" s="524"/>
      <c r="I331" s="524"/>
      <c r="J331" s="524"/>
      <c r="K331" s="568"/>
      <c r="M331" s="524"/>
    </row>
    <row r="332" spans="5:13" ht="12.3">
      <c r="E332" s="523"/>
      <c r="G332" s="524"/>
      <c r="H332" s="524"/>
      <c r="I332" s="524"/>
      <c r="J332" s="524"/>
      <c r="K332" s="568"/>
      <c r="M332" s="524"/>
    </row>
    <row r="333" spans="5:13" ht="12.3">
      <c r="E333" s="523"/>
      <c r="G333" s="524"/>
      <c r="H333" s="524"/>
      <c r="I333" s="524"/>
      <c r="J333" s="524"/>
      <c r="K333" s="568"/>
      <c r="M333" s="524"/>
    </row>
    <row r="334" spans="5:13" ht="12.3">
      <c r="E334" s="523"/>
      <c r="G334" s="524"/>
      <c r="H334" s="524"/>
      <c r="I334" s="524"/>
      <c r="J334" s="524"/>
      <c r="K334" s="568"/>
      <c r="M334" s="524"/>
    </row>
    <row r="335" spans="5:13" ht="12.3">
      <c r="E335" s="523"/>
      <c r="G335" s="524"/>
      <c r="H335" s="524"/>
      <c r="I335" s="524"/>
      <c r="J335" s="524"/>
      <c r="K335" s="568"/>
      <c r="M335" s="524"/>
    </row>
    <row r="336" spans="5:13" ht="12.3">
      <c r="E336" s="523"/>
      <c r="G336" s="524"/>
      <c r="H336" s="524"/>
      <c r="I336" s="524"/>
      <c r="J336" s="524"/>
      <c r="K336" s="568"/>
      <c r="M336" s="524"/>
    </row>
    <row r="337" spans="5:13" ht="12.3">
      <c r="E337" s="523"/>
      <c r="G337" s="524"/>
      <c r="H337" s="524"/>
      <c r="I337" s="524"/>
      <c r="J337" s="524"/>
      <c r="K337" s="568"/>
      <c r="M337" s="524"/>
    </row>
    <row r="338" spans="5:13" ht="12.3">
      <c r="E338" s="523"/>
      <c r="G338" s="524"/>
      <c r="H338" s="524"/>
      <c r="I338" s="524"/>
      <c r="J338" s="524"/>
      <c r="K338" s="568"/>
      <c r="M338" s="524"/>
    </row>
    <row r="339" spans="5:13" ht="12.3">
      <c r="E339" s="523"/>
      <c r="G339" s="524"/>
      <c r="H339" s="524"/>
      <c r="I339" s="524"/>
      <c r="J339" s="524"/>
      <c r="K339" s="568"/>
      <c r="M339" s="524"/>
    </row>
    <row r="340" spans="5:13" ht="12.3">
      <c r="E340" s="523"/>
      <c r="G340" s="524"/>
      <c r="H340" s="524"/>
      <c r="I340" s="524"/>
      <c r="J340" s="524"/>
      <c r="K340" s="568"/>
      <c r="M340" s="524"/>
    </row>
    <row r="341" spans="5:13" ht="12.3">
      <c r="E341" s="523"/>
      <c r="G341" s="524"/>
      <c r="H341" s="524"/>
      <c r="I341" s="524"/>
      <c r="J341" s="524"/>
      <c r="K341" s="568"/>
      <c r="M341" s="524"/>
    </row>
    <row r="342" spans="5:13" ht="12.3">
      <c r="E342" s="523"/>
      <c r="G342" s="524"/>
      <c r="H342" s="524"/>
      <c r="I342" s="524"/>
      <c r="J342" s="524"/>
      <c r="K342" s="568"/>
      <c r="M342" s="524"/>
    </row>
    <row r="343" spans="5:13" ht="12.3">
      <c r="E343" s="523"/>
      <c r="G343" s="524"/>
      <c r="H343" s="524"/>
      <c r="I343" s="524"/>
      <c r="J343" s="524"/>
      <c r="K343" s="568"/>
      <c r="M343" s="524"/>
    </row>
    <row r="344" spans="5:13" ht="12.3">
      <c r="E344" s="523"/>
      <c r="G344" s="524"/>
      <c r="H344" s="524"/>
      <c r="I344" s="524"/>
      <c r="J344" s="524"/>
      <c r="K344" s="568"/>
      <c r="M344" s="524"/>
    </row>
    <row r="345" spans="5:13" ht="12.3">
      <c r="E345" s="523"/>
      <c r="G345" s="524"/>
      <c r="H345" s="524"/>
      <c r="I345" s="524"/>
      <c r="J345" s="524"/>
      <c r="K345" s="568"/>
      <c r="M345" s="524"/>
    </row>
    <row r="346" spans="5:13" ht="12.3">
      <c r="E346" s="523"/>
      <c r="G346" s="524"/>
      <c r="H346" s="524"/>
      <c r="I346" s="524"/>
      <c r="J346" s="524"/>
      <c r="K346" s="568"/>
      <c r="M346" s="524"/>
    </row>
    <row r="347" spans="5:13" ht="12.3">
      <c r="E347" s="523"/>
      <c r="G347" s="524"/>
      <c r="H347" s="524"/>
      <c r="I347" s="524"/>
      <c r="J347" s="524"/>
      <c r="K347" s="568"/>
      <c r="M347" s="524"/>
    </row>
    <row r="348" spans="5:13" ht="12.3">
      <c r="E348" s="523"/>
      <c r="G348" s="524"/>
      <c r="H348" s="524"/>
      <c r="I348" s="524"/>
      <c r="J348" s="524"/>
      <c r="K348" s="568"/>
      <c r="M348" s="524"/>
    </row>
    <row r="349" spans="5:13" ht="12.3">
      <c r="E349" s="523"/>
      <c r="G349" s="524"/>
      <c r="H349" s="524"/>
      <c r="I349" s="524"/>
      <c r="J349" s="524"/>
      <c r="K349" s="568"/>
      <c r="M349" s="524"/>
    </row>
    <row r="350" spans="5:13" ht="12.3">
      <c r="E350" s="523"/>
      <c r="G350" s="524"/>
      <c r="H350" s="524"/>
      <c r="I350" s="524"/>
      <c r="J350" s="524"/>
      <c r="K350" s="568"/>
      <c r="M350" s="524"/>
    </row>
    <row r="351" spans="5:13" ht="12.3">
      <c r="E351" s="523"/>
      <c r="G351" s="524"/>
      <c r="H351" s="524"/>
      <c r="I351" s="524"/>
      <c r="J351" s="524"/>
      <c r="K351" s="568"/>
      <c r="M351" s="524"/>
    </row>
    <row r="352" spans="5:13" ht="12.3">
      <c r="E352" s="523"/>
      <c r="G352" s="524"/>
      <c r="H352" s="524"/>
      <c r="I352" s="524"/>
      <c r="J352" s="524"/>
      <c r="K352" s="568"/>
      <c r="M352" s="524"/>
    </row>
    <row r="353" spans="5:13" ht="12.3">
      <c r="E353" s="523"/>
      <c r="G353" s="524"/>
      <c r="H353" s="524"/>
      <c r="I353" s="524"/>
      <c r="J353" s="524"/>
      <c r="K353" s="568"/>
      <c r="M353" s="524"/>
    </row>
    <row r="354" spans="5:13" ht="12.3">
      <c r="E354" s="523"/>
      <c r="G354" s="524"/>
      <c r="H354" s="524"/>
      <c r="I354" s="524"/>
      <c r="J354" s="524"/>
      <c r="K354" s="568"/>
      <c r="M354" s="524"/>
    </row>
    <row r="355" spans="5:13" ht="12.3">
      <c r="E355" s="523"/>
      <c r="G355" s="524"/>
      <c r="H355" s="524"/>
      <c r="I355" s="524"/>
      <c r="J355" s="524"/>
      <c r="K355" s="568"/>
      <c r="M355" s="524"/>
    </row>
    <row r="356" spans="5:13" ht="12.3">
      <c r="E356" s="523"/>
      <c r="G356" s="524"/>
      <c r="H356" s="524"/>
      <c r="I356" s="524"/>
      <c r="J356" s="524"/>
      <c r="K356" s="568"/>
      <c r="M356" s="524"/>
    </row>
    <row r="357" spans="5:13" ht="12.3">
      <c r="E357" s="523"/>
      <c r="G357" s="524"/>
      <c r="H357" s="524"/>
      <c r="I357" s="524"/>
      <c r="J357" s="524"/>
      <c r="K357" s="568"/>
      <c r="M357" s="524"/>
    </row>
    <row r="358" spans="5:13" ht="12.3">
      <c r="E358" s="523"/>
      <c r="G358" s="524"/>
      <c r="H358" s="524"/>
      <c r="I358" s="524"/>
      <c r="J358" s="524"/>
      <c r="K358" s="568"/>
      <c r="M358" s="524"/>
    </row>
    <row r="359" spans="5:13" ht="12.3">
      <c r="E359" s="523"/>
      <c r="G359" s="524"/>
      <c r="H359" s="524"/>
      <c r="I359" s="524"/>
      <c r="J359" s="524"/>
      <c r="K359" s="568"/>
      <c r="M359" s="524"/>
    </row>
    <row r="360" spans="5:13" ht="12.3">
      <c r="E360" s="523"/>
      <c r="G360" s="524"/>
      <c r="H360" s="524"/>
      <c r="I360" s="524"/>
      <c r="J360" s="524"/>
      <c r="K360" s="568"/>
      <c r="M360" s="524"/>
    </row>
    <row r="361" spans="5:13" ht="12.3">
      <c r="E361" s="523"/>
      <c r="G361" s="524"/>
      <c r="H361" s="524"/>
      <c r="I361" s="524"/>
      <c r="J361" s="524"/>
      <c r="K361" s="568"/>
      <c r="M361" s="524"/>
    </row>
    <row r="362" spans="5:13" ht="12.3">
      <c r="E362" s="523"/>
      <c r="G362" s="524"/>
      <c r="H362" s="524"/>
      <c r="I362" s="524"/>
      <c r="J362" s="524"/>
      <c r="K362" s="568"/>
      <c r="M362" s="524"/>
    </row>
    <row r="363" spans="5:13" ht="12.3">
      <c r="E363" s="523"/>
      <c r="G363" s="524"/>
      <c r="H363" s="524"/>
      <c r="I363" s="524"/>
      <c r="J363" s="524"/>
      <c r="K363" s="568"/>
      <c r="M363" s="524"/>
    </row>
    <row r="364" spans="5:13" ht="12.3">
      <c r="E364" s="523"/>
      <c r="G364" s="524"/>
      <c r="H364" s="524"/>
      <c r="I364" s="524"/>
      <c r="J364" s="524"/>
      <c r="K364" s="568"/>
      <c r="M364" s="524"/>
    </row>
    <row r="365" spans="5:13" ht="12.3">
      <c r="E365" s="523"/>
      <c r="G365" s="524"/>
      <c r="H365" s="524"/>
      <c r="I365" s="524"/>
      <c r="J365" s="524"/>
      <c r="K365" s="568"/>
      <c r="M365" s="524"/>
    </row>
    <row r="366" spans="5:13" ht="12.3">
      <c r="E366" s="523"/>
      <c r="G366" s="524"/>
      <c r="H366" s="524"/>
      <c r="I366" s="524"/>
      <c r="J366" s="524"/>
      <c r="K366" s="568"/>
      <c r="M366" s="524"/>
    </row>
    <row r="367" spans="5:13" ht="12.3">
      <c r="E367" s="523"/>
      <c r="G367" s="524"/>
      <c r="H367" s="524"/>
      <c r="I367" s="524"/>
      <c r="J367" s="524"/>
      <c r="K367" s="568"/>
      <c r="M367" s="524"/>
    </row>
    <row r="368" spans="5:13" ht="12.3">
      <c r="E368" s="523"/>
      <c r="G368" s="524"/>
      <c r="H368" s="524"/>
      <c r="I368" s="524"/>
      <c r="J368" s="524"/>
      <c r="K368" s="568"/>
      <c r="M368" s="524"/>
    </row>
    <row r="369" spans="5:13" ht="12.3">
      <c r="E369" s="523"/>
      <c r="G369" s="524"/>
      <c r="H369" s="524"/>
      <c r="I369" s="524"/>
      <c r="J369" s="524"/>
      <c r="K369" s="568"/>
      <c r="M369" s="524"/>
    </row>
    <row r="370" spans="5:13" ht="12.3">
      <c r="E370" s="523"/>
      <c r="G370" s="524"/>
      <c r="H370" s="524"/>
      <c r="I370" s="524"/>
      <c r="J370" s="524"/>
      <c r="K370" s="568"/>
      <c r="M370" s="524"/>
    </row>
    <row r="371" spans="5:13" ht="12.3">
      <c r="E371" s="523"/>
      <c r="G371" s="524"/>
      <c r="H371" s="524"/>
      <c r="I371" s="524"/>
      <c r="J371" s="524"/>
      <c r="K371" s="568"/>
      <c r="M371" s="524"/>
    </row>
    <row r="372" spans="5:13" ht="12.3">
      <c r="E372" s="523"/>
      <c r="G372" s="524"/>
      <c r="H372" s="524"/>
      <c r="I372" s="524"/>
      <c r="J372" s="524"/>
      <c r="K372" s="568"/>
      <c r="M372" s="524"/>
    </row>
    <row r="373" spans="5:13" ht="12.3">
      <c r="E373" s="523"/>
      <c r="G373" s="524"/>
      <c r="H373" s="524"/>
      <c r="I373" s="524"/>
      <c r="J373" s="524"/>
      <c r="K373" s="568"/>
      <c r="M373" s="524"/>
    </row>
    <row r="374" spans="5:13" ht="12.3">
      <c r="E374" s="523"/>
      <c r="G374" s="524"/>
      <c r="H374" s="524"/>
      <c r="I374" s="524"/>
      <c r="J374" s="524"/>
      <c r="K374" s="568"/>
      <c r="M374" s="524"/>
    </row>
    <row r="375" spans="5:13" ht="12.3">
      <c r="E375" s="523"/>
      <c r="G375" s="524"/>
      <c r="H375" s="524"/>
      <c r="I375" s="524"/>
      <c r="J375" s="524"/>
      <c r="K375" s="568"/>
      <c r="M375" s="524"/>
    </row>
    <row r="376" spans="5:13" ht="12.3">
      <c r="E376" s="523"/>
      <c r="G376" s="524"/>
      <c r="H376" s="524"/>
      <c r="I376" s="524"/>
      <c r="J376" s="524"/>
      <c r="K376" s="568"/>
      <c r="M376" s="524"/>
    </row>
    <row r="377" spans="5:13" ht="12.3">
      <c r="E377" s="523"/>
      <c r="G377" s="524"/>
      <c r="H377" s="524"/>
      <c r="I377" s="524"/>
      <c r="J377" s="524"/>
      <c r="K377" s="568"/>
      <c r="M377" s="524"/>
    </row>
    <row r="378" spans="5:13" ht="12.3">
      <c r="E378" s="523"/>
      <c r="G378" s="524"/>
      <c r="H378" s="524"/>
      <c r="I378" s="524"/>
      <c r="J378" s="524"/>
      <c r="K378" s="568"/>
      <c r="M378" s="524"/>
    </row>
    <row r="379" spans="5:13" ht="12.3">
      <c r="E379" s="523"/>
      <c r="G379" s="524"/>
      <c r="H379" s="524"/>
      <c r="I379" s="524"/>
      <c r="J379" s="524"/>
      <c r="K379" s="568"/>
      <c r="M379" s="524"/>
    </row>
    <row r="380" spans="5:13" ht="12.3">
      <c r="E380" s="523"/>
      <c r="G380" s="524"/>
      <c r="H380" s="524"/>
      <c r="I380" s="524"/>
      <c r="J380" s="524"/>
      <c r="K380" s="568"/>
      <c r="M380" s="524"/>
    </row>
    <row r="381" spans="5:13" ht="12.3">
      <c r="E381" s="523"/>
      <c r="G381" s="524"/>
      <c r="H381" s="524"/>
      <c r="I381" s="524"/>
      <c r="J381" s="524"/>
      <c r="K381" s="568"/>
      <c r="M381" s="524"/>
    </row>
    <row r="382" spans="5:13" ht="12.3">
      <c r="E382" s="523"/>
      <c r="G382" s="524"/>
      <c r="H382" s="524"/>
      <c r="I382" s="524"/>
      <c r="J382" s="524"/>
      <c r="K382" s="568"/>
      <c r="M382" s="524"/>
    </row>
    <row r="383" spans="5:13" ht="12.3">
      <c r="E383" s="523"/>
      <c r="G383" s="524"/>
      <c r="H383" s="524"/>
      <c r="I383" s="524"/>
      <c r="J383" s="524"/>
      <c r="K383" s="568"/>
      <c r="M383" s="524"/>
    </row>
    <row r="384" spans="5:13" ht="12.3">
      <c r="E384" s="523"/>
      <c r="G384" s="524"/>
      <c r="H384" s="524"/>
      <c r="I384" s="524"/>
      <c r="J384" s="524"/>
      <c r="K384" s="568"/>
      <c r="M384" s="524"/>
    </row>
    <row r="385" spans="5:13" ht="12.3">
      <c r="E385" s="523"/>
      <c r="G385" s="524"/>
      <c r="H385" s="524"/>
      <c r="I385" s="524"/>
      <c r="J385" s="524"/>
      <c r="K385" s="568"/>
      <c r="M385" s="524"/>
    </row>
    <row r="386" spans="5:13" ht="12.3">
      <c r="E386" s="523"/>
      <c r="G386" s="524"/>
      <c r="H386" s="524"/>
      <c r="I386" s="524"/>
      <c r="J386" s="524"/>
      <c r="K386" s="568"/>
      <c r="M386" s="524"/>
    </row>
    <row r="387" spans="5:13" ht="12.3">
      <c r="E387" s="523"/>
      <c r="G387" s="524"/>
      <c r="H387" s="524"/>
      <c r="I387" s="524"/>
      <c r="J387" s="524"/>
      <c r="K387" s="568"/>
      <c r="M387" s="524"/>
    </row>
    <row r="388" spans="5:13" ht="12.3">
      <c r="E388" s="523"/>
      <c r="G388" s="524"/>
      <c r="H388" s="524"/>
      <c r="I388" s="524"/>
      <c r="J388" s="524"/>
      <c r="K388" s="568"/>
      <c r="M388" s="524"/>
    </row>
    <row r="389" spans="5:13" ht="12.3">
      <c r="E389" s="523"/>
      <c r="G389" s="524"/>
      <c r="H389" s="524"/>
      <c r="I389" s="524"/>
      <c r="J389" s="524"/>
      <c r="K389" s="568"/>
      <c r="M389" s="524"/>
    </row>
    <row r="390" spans="5:13" ht="12.3">
      <c r="E390" s="523"/>
      <c r="G390" s="524"/>
      <c r="H390" s="524"/>
      <c r="I390" s="524"/>
      <c r="J390" s="524"/>
      <c r="K390" s="568"/>
      <c r="M390" s="524"/>
    </row>
    <row r="391" spans="5:13" ht="12.3">
      <c r="E391" s="523"/>
      <c r="G391" s="524"/>
      <c r="H391" s="524"/>
      <c r="I391" s="524"/>
      <c r="J391" s="524"/>
      <c r="K391" s="568"/>
      <c r="M391" s="524"/>
    </row>
    <row r="392" spans="5:13" ht="12.3">
      <c r="E392" s="523"/>
      <c r="G392" s="524"/>
      <c r="H392" s="524"/>
      <c r="I392" s="524"/>
      <c r="J392" s="524"/>
      <c r="K392" s="568"/>
      <c r="M392" s="524"/>
    </row>
    <row r="393" spans="5:13" ht="12.3">
      <c r="E393" s="523"/>
      <c r="G393" s="524"/>
      <c r="H393" s="524"/>
      <c r="I393" s="524"/>
      <c r="J393" s="524"/>
      <c r="K393" s="568"/>
      <c r="M393" s="524"/>
    </row>
    <row r="394" spans="5:13" ht="12.3">
      <c r="E394" s="523"/>
      <c r="G394" s="524"/>
      <c r="H394" s="524"/>
      <c r="I394" s="524"/>
      <c r="J394" s="524"/>
      <c r="K394" s="568"/>
      <c r="M394" s="524"/>
    </row>
    <row r="395" spans="5:13" ht="12.3">
      <c r="E395" s="523"/>
      <c r="G395" s="524"/>
      <c r="H395" s="524"/>
      <c r="I395" s="524"/>
      <c r="J395" s="524"/>
      <c r="K395" s="568"/>
      <c r="M395" s="524"/>
    </row>
    <row r="396" spans="5:13" ht="12.3">
      <c r="E396" s="523"/>
      <c r="G396" s="524"/>
      <c r="H396" s="524"/>
      <c r="I396" s="524"/>
      <c r="J396" s="524"/>
      <c r="K396" s="568"/>
      <c r="M396" s="524"/>
    </row>
    <row r="397" spans="5:13" ht="12.3">
      <c r="E397" s="523"/>
      <c r="G397" s="524"/>
      <c r="H397" s="524"/>
      <c r="I397" s="524"/>
      <c r="J397" s="524"/>
      <c r="K397" s="568"/>
      <c r="M397" s="524"/>
    </row>
    <row r="398" spans="5:13" ht="12.3">
      <c r="E398" s="523"/>
      <c r="G398" s="524"/>
      <c r="H398" s="524"/>
      <c r="I398" s="524"/>
      <c r="J398" s="524"/>
      <c r="K398" s="568"/>
      <c r="M398" s="524"/>
    </row>
    <row r="399" spans="5:13" ht="12.3">
      <c r="E399" s="523"/>
      <c r="G399" s="524"/>
      <c r="H399" s="524"/>
      <c r="I399" s="524"/>
      <c r="J399" s="524"/>
      <c r="K399" s="568"/>
      <c r="M399" s="524"/>
    </row>
    <row r="400" spans="5:13" ht="12.3">
      <c r="E400" s="523"/>
      <c r="G400" s="524"/>
      <c r="H400" s="524"/>
      <c r="I400" s="524"/>
      <c r="J400" s="524"/>
      <c r="K400" s="568"/>
      <c r="M400" s="524"/>
    </row>
    <row r="401" spans="5:13" ht="12.3">
      <c r="E401" s="523"/>
      <c r="G401" s="524"/>
      <c r="H401" s="524"/>
      <c r="I401" s="524"/>
      <c r="J401" s="524"/>
      <c r="K401" s="568"/>
      <c r="M401" s="524"/>
    </row>
    <row r="402" spans="5:13" ht="12.3">
      <c r="E402" s="523"/>
      <c r="G402" s="524"/>
      <c r="H402" s="524"/>
      <c r="I402" s="524"/>
      <c r="J402" s="524"/>
      <c r="K402" s="568"/>
      <c r="M402" s="524"/>
    </row>
    <row r="403" spans="5:13" ht="12.3">
      <c r="E403" s="523"/>
      <c r="G403" s="524"/>
      <c r="H403" s="524"/>
      <c r="I403" s="524"/>
      <c r="J403" s="524"/>
      <c r="K403" s="568"/>
      <c r="M403" s="524"/>
    </row>
    <row r="404" spans="5:13" ht="12.3">
      <c r="E404" s="523"/>
      <c r="G404" s="524"/>
      <c r="H404" s="524"/>
      <c r="I404" s="524"/>
      <c r="J404" s="524"/>
      <c r="K404" s="568"/>
      <c r="M404" s="524"/>
    </row>
    <row r="405" spans="5:13" ht="12.3">
      <c r="E405" s="523"/>
      <c r="G405" s="524"/>
      <c r="H405" s="524"/>
      <c r="I405" s="524"/>
      <c r="J405" s="524"/>
      <c r="K405" s="568"/>
      <c r="M405" s="524"/>
    </row>
    <row r="406" spans="5:13" ht="12.3">
      <c r="E406" s="523"/>
      <c r="G406" s="524"/>
      <c r="H406" s="524"/>
      <c r="I406" s="524"/>
      <c r="J406" s="524"/>
      <c r="K406" s="568"/>
      <c r="M406" s="524"/>
    </row>
    <row r="407" spans="5:13" ht="12.3">
      <c r="E407" s="523"/>
      <c r="G407" s="524"/>
      <c r="H407" s="524"/>
      <c r="I407" s="524"/>
      <c r="J407" s="524"/>
      <c r="K407" s="568"/>
      <c r="M407" s="524"/>
    </row>
    <row r="408" spans="5:13" ht="12.3">
      <c r="E408" s="523"/>
      <c r="G408" s="524"/>
      <c r="H408" s="524"/>
      <c r="I408" s="524"/>
      <c r="J408" s="524"/>
      <c r="K408" s="568"/>
      <c r="M408" s="524"/>
    </row>
    <row r="409" spans="5:13" ht="12.3">
      <c r="E409" s="523"/>
      <c r="G409" s="524"/>
      <c r="H409" s="524"/>
      <c r="I409" s="524"/>
      <c r="J409" s="524"/>
      <c r="K409" s="568"/>
      <c r="M409" s="524"/>
    </row>
    <row r="410" spans="5:13" ht="12.3">
      <c r="E410" s="523"/>
      <c r="G410" s="524"/>
      <c r="H410" s="524"/>
      <c r="I410" s="524"/>
      <c r="J410" s="524"/>
      <c r="K410" s="568"/>
      <c r="M410" s="524"/>
    </row>
    <row r="411" spans="5:13" ht="12.3">
      <c r="E411" s="523"/>
      <c r="G411" s="524"/>
      <c r="H411" s="524"/>
      <c r="I411" s="524"/>
      <c r="J411" s="524"/>
      <c r="K411" s="568"/>
      <c r="M411" s="524"/>
    </row>
    <row r="412" spans="5:13" ht="12.3">
      <c r="E412" s="523"/>
      <c r="G412" s="524"/>
      <c r="H412" s="524"/>
      <c r="I412" s="524"/>
      <c r="J412" s="524"/>
      <c r="K412" s="568"/>
      <c r="M412" s="524"/>
    </row>
    <row r="413" spans="5:13" ht="12.3">
      <c r="E413" s="523"/>
      <c r="G413" s="524"/>
      <c r="H413" s="524"/>
      <c r="I413" s="524"/>
      <c r="J413" s="524"/>
      <c r="K413" s="568"/>
      <c r="M413" s="524"/>
    </row>
    <row r="414" spans="5:13" ht="12.3">
      <c r="E414" s="523"/>
      <c r="G414" s="524"/>
      <c r="H414" s="524"/>
      <c r="I414" s="524"/>
      <c r="J414" s="524"/>
      <c r="K414" s="568"/>
      <c r="M414" s="524"/>
    </row>
    <row r="415" spans="5:13" ht="12.3">
      <c r="E415" s="523"/>
      <c r="G415" s="524"/>
      <c r="H415" s="524"/>
      <c r="I415" s="524"/>
      <c r="J415" s="524"/>
      <c r="K415" s="568"/>
      <c r="M415" s="524"/>
    </row>
    <row r="416" spans="5:13" ht="12.3">
      <c r="E416" s="523"/>
      <c r="G416" s="524"/>
      <c r="H416" s="524"/>
      <c r="I416" s="524"/>
      <c r="J416" s="524"/>
      <c r="K416" s="568"/>
      <c r="M416" s="524"/>
    </row>
    <row r="417" spans="5:13" ht="12.3">
      <c r="E417" s="523"/>
      <c r="G417" s="524"/>
      <c r="H417" s="524"/>
      <c r="I417" s="524"/>
      <c r="J417" s="524"/>
      <c r="K417" s="568"/>
      <c r="M417" s="524"/>
    </row>
    <row r="418" spans="5:13" ht="12.3">
      <c r="E418" s="523"/>
      <c r="G418" s="524"/>
      <c r="H418" s="524"/>
      <c r="I418" s="524"/>
      <c r="J418" s="524"/>
      <c r="K418" s="568"/>
      <c r="M418" s="524"/>
    </row>
    <row r="419" spans="5:13" ht="12.3">
      <c r="E419" s="523"/>
      <c r="G419" s="524"/>
      <c r="H419" s="524"/>
      <c r="I419" s="524"/>
      <c r="J419" s="524"/>
      <c r="K419" s="568"/>
      <c r="M419" s="524"/>
    </row>
    <row r="420" spans="5:13" ht="12.3">
      <c r="E420" s="523"/>
      <c r="G420" s="524"/>
      <c r="H420" s="524"/>
      <c r="I420" s="524"/>
      <c r="J420" s="524"/>
      <c r="K420" s="568"/>
      <c r="M420" s="524"/>
    </row>
    <row r="421" spans="5:13" ht="12.3">
      <c r="E421" s="523"/>
      <c r="G421" s="524"/>
      <c r="H421" s="524"/>
      <c r="I421" s="524"/>
      <c r="J421" s="524"/>
      <c r="K421" s="568"/>
      <c r="M421" s="524"/>
    </row>
    <row r="422" spans="5:13" ht="12.3">
      <c r="E422" s="523"/>
      <c r="G422" s="524"/>
      <c r="H422" s="524"/>
      <c r="I422" s="524"/>
      <c r="J422" s="524"/>
      <c r="K422" s="568"/>
      <c r="M422" s="524"/>
    </row>
    <row r="423" spans="5:13" ht="12.3">
      <c r="E423" s="523"/>
      <c r="G423" s="524"/>
      <c r="H423" s="524"/>
      <c r="I423" s="524"/>
      <c r="J423" s="524"/>
      <c r="K423" s="568"/>
      <c r="M423" s="524"/>
    </row>
    <row r="424" spans="5:13" ht="12.3">
      <c r="E424" s="523"/>
      <c r="G424" s="524"/>
      <c r="H424" s="524"/>
      <c r="I424" s="524"/>
      <c r="J424" s="524"/>
      <c r="K424" s="568"/>
      <c r="M424" s="524"/>
    </row>
    <row r="425" spans="5:13" ht="12.3">
      <c r="E425" s="523"/>
      <c r="G425" s="524"/>
      <c r="H425" s="524"/>
      <c r="I425" s="524"/>
      <c r="J425" s="524"/>
      <c r="K425" s="568"/>
      <c r="M425" s="524"/>
    </row>
    <row r="426" spans="5:13" ht="12.3">
      <c r="E426" s="523"/>
      <c r="G426" s="524"/>
      <c r="H426" s="524"/>
      <c r="I426" s="524"/>
      <c r="J426" s="524"/>
      <c r="K426" s="568"/>
      <c r="M426" s="524"/>
    </row>
    <row r="427" spans="5:13" ht="12.3">
      <c r="E427" s="523"/>
      <c r="G427" s="524"/>
      <c r="H427" s="524"/>
      <c r="I427" s="524"/>
      <c r="J427" s="524"/>
      <c r="K427" s="568"/>
      <c r="M427" s="524"/>
    </row>
    <row r="428" spans="5:13" ht="12.3">
      <c r="E428" s="523"/>
      <c r="G428" s="524"/>
      <c r="H428" s="524"/>
      <c r="I428" s="524"/>
      <c r="J428" s="524"/>
      <c r="K428" s="568"/>
      <c r="M428" s="524"/>
    </row>
    <row r="429" spans="5:13" ht="12.3">
      <c r="E429" s="523"/>
      <c r="G429" s="524"/>
      <c r="H429" s="524"/>
      <c r="I429" s="524"/>
      <c r="J429" s="524"/>
      <c r="K429" s="568"/>
      <c r="M429" s="524"/>
    </row>
    <row r="430" spans="5:13" ht="12.3">
      <c r="E430" s="523"/>
      <c r="G430" s="524"/>
      <c r="H430" s="524"/>
      <c r="I430" s="524"/>
      <c r="J430" s="524"/>
      <c r="K430" s="568"/>
      <c r="M430" s="524"/>
    </row>
    <row r="431" spans="5:13" ht="12.3">
      <c r="E431" s="523"/>
      <c r="G431" s="524"/>
      <c r="H431" s="524"/>
      <c r="I431" s="524"/>
      <c r="J431" s="524"/>
      <c r="K431" s="568"/>
      <c r="M431" s="524"/>
    </row>
    <row r="432" spans="5:13" ht="12.3">
      <c r="E432" s="523"/>
      <c r="G432" s="524"/>
      <c r="H432" s="524"/>
      <c r="I432" s="524"/>
      <c r="J432" s="524"/>
      <c r="K432" s="568"/>
      <c r="M432" s="524"/>
    </row>
    <row r="433" spans="5:13" ht="12.3">
      <c r="E433" s="523"/>
      <c r="G433" s="524"/>
      <c r="H433" s="524"/>
      <c r="I433" s="524"/>
      <c r="J433" s="524"/>
      <c r="K433" s="568"/>
      <c r="M433" s="524"/>
    </row>
    <row r="434" spans="5:13" ht="12.3">
      <c r="E434" s="523"/>
      <c r="G434" s="524"/>
      <c r="H434" s="524"/>
      <c r="I434" s="524"/>
      <c r="J434" s="524"/>
      <c r="K434" s="568"/>
      <c r="M434" s="524"/>
    </row>
    <row r="435" spans="5:13" ht="12.3">
      <c r="E435" s="523"/>
      <c r="G435" s="524"/>
      <c r="H435" s="524"/>
      <c r="I435" s="524"/>
      <c r="J435" s="524"/>
      <c r="K435" s="568"/>
      <c r="M435" s="524"/>
    </row>
    <row r="436" spans="5:13" ht="12.3">
      <c r="E436" s="523"/>
      <c r="G436" s="524"/>
      <c r="H436" s="524"/>
      <c r="I436" s="524"/>
      <c r="J436" s="524"/>
      <c r="K436" s="568"/>
      <c r="M436" s="524"/>
    </row>
    <row r="437" spans="5:13" ht="12.3">
      <c r="E437" s="523"/>
      <c r="G437" s="524"/>
      <c r="H437" s="524"/>
      <c r="I437" s="524"/>
      <c r="J437" s="524"/>
      <c r="K437" s="568"/>
      <c r="M437" s="524"/>
    </row>
    <row r="438" spans="5:13" ht="12.3">
      <c r="E438" s="523"/>
      <c r="G438" s="524"/>
      <c r="H438" s="524"/>
      <c r="I438" s="524"/>
      <c r="J438" s="524"/>
      <c r="K438" s="568"/>
      <c r="M438" s="524"/>
    </row>
    <row r="439" spans="5:13" ht="12.3">
      <c r="E439" s="523"/>
      <c r="G439" s="524"/>
      <c r="H439" s="524"/>
      <c r="I439" s="524"/>
      <c r="J439" s="524"/>
      <c r="K439" s="568"/>
      <c r="M439" s="524"/>
    </row>
    <row r="440" spans="5:13" ht="12.3">
      <c r="E440" s="523"/>
      <c r="G440" s="524"/>
      <c r="H440" s="524"/>
      <c r="I440" s="524"/>
      <c r="J440" s="524"/>
      <c r="K440" s="568"/>
      <c r="M440" s="524"/>
    </row>
    <row r="441" spans="5:13" ht="12.3">
      <c r="E441" s="523"/>
      <c r="G441" s="524"/>
      <c r="H441" s="524"/>
      <c r="I441" s="524"/>
      <c r="J441" s="524"/>
      <c r="K441" s="568"/>
      <c r="M441" s="524"/>
    </row>
    <row r="442" spans="5:13" ht="12.3">
      <c r="E442" s="523"/>
      <c r="G442" s="524"/>
      <c r="H442" s="524"/>
      <c r="I442" s="524"/>
      <c r="J442" s="524"/>
      <c r="K442" s="568"/>
      <c r="M442" s="524"/>
    </row>
    <row r="443" spans="5:13" ht="12.3">
      <c r="E443" s="523"/>
      <c r="G443" s="524"/>
      <c r="H443" s="524"/>
      <c r="I443" s="524"/>
      <c r="J443" s="524"/>
      <c r="K443" s="568"/>
      <c r="M443" s="524"/>
    </row>
    <row r="444" spans="5:13" ht="12.3">
      <c r="E444" s="523"/>
      <c r="G444" s="524"/>
      <c r="H444" s="524"/>
      <c r="I444" s="524"/>
      <c r="J444" s="524"/>
      <c r="K444" s="568"/>
      <c r="M444" s="524"/>
    </row>
    <row r="445" spans="5:13" ht="12.3">
      <c r="E445" s="523"/>
      <c r="G445" s="524"/>
      <c r="H445" s="524"/>
      <c r="I445" s="524"/>
      <c r="J445" s="524"/>
      <c r="K445" s="568"/>
      <c r="M445" s="524"/>
    </row>
    <row r="446" spans="5:13" ht="12.3">
      <c r="E446" s="523"/>
      <c r="G446" s="524"/>
      <c r="H446" s="524"/>
      <c r="I446" s="524"/>
      <c r="J446" s="524"/>
      <c r="K446" s="568"/>
      <c r="M446" s="524"/>
    </row>
    <row r="447" spans="5:13" ht="12.3">
      <c r="E447" s="523"/>
      <c r="G447" s="524"/>
      <c r="H447" s="524"/>
      <c r="I447" s="524"/>
      <c r="J447" s="524"/>
      <c r="K447" s="568"/>
      <c r="M447" s="524"/>
    </row>
    <row r="448" spans="5:13" ht="12.3">
      <c r="E448" s="523"/>
      <c r="G448" s="524"/>
      <c r="H448" s="524"/>
      <c r="I448" s="524"/>
      <c r="J448" s="524"/>
      <c r="K448" s="568"/>
      <c r="M448" s="524"/>
    </row>
    <row r="449" spans="5:13" ht="12.3">
      <c r="E449" s="523"/>
      <c r="G449" s="524"/>
      <c r="H449" s="524"/>
      <c r="I449" s="524"/>
      <c r="J449" s="524"/>
      <c r="K449" s="568"/>
      <c r="M449" s="524"/>
    </row>
    <row r="450" spans="5:13" ht="12.3">
      <c r="E450" s="523"/>
      <c r="G450" s="524"/>
      <c r="H450" s="524"/>
      <c r="I450" s="524"/>
      <c r="J450" s="524"/>
      <c r="K450" s="568"/>
      <c r="M450" s="524"/>
    </row>
    <row r="451" spans="5:13" ht="12.3">
      <c r="E451" s="523"/>
      <c r="G451" s="524"/>
      <c r="H451" s="524"/>
      <c r="I451" s="524"/>
      <c r="J451" s="524"/>
      <c r="K451" s="568"/>
      <c r="M451" s="524"/>
    </row>
    <row r="452" spans="5:13" ht="12.3">
      <c r="E452" s="523"/>
      <c r="G452" s="524"/>
      <c r="H452" s="524"/>
      <c r="I452" s="524"/>
      <c r="J452" s="524"/>
      <c r="K452" s="568"/>
      <c r="M452" s="524"/>
    </row>
    <row r="453" spans="5:13" ht="12.3">
      <c r="E453" s="523"/>
      <c r="G453" s="524"/>
      <c r="H453" s="524"/>
      <c r="I453" s="524"/>
      <c r="J453" s="524"/>
      <c r="K453" s="568"/>
      <c r="M453" s="524"/>
    </row>
    <row r="454" spans="5:13" ht="12.3">
      <c r="E454" s="523"/>
      <c r="G454" s="524"/>
      <c r="H454" s="524"/>
      <c r="I454" s="524"/>
      <c r="J454" s="524"/>
      <c r="K454" s="568"/>
      <c r="M454" s="524"/>
    </row>
    <row r="455" spans="5:13" ht="12.3">
      <c r="E455" s="523"/>
      <c r="G455" s="524"/>
      <c r="H455" s="524"/>
      <c r="I455" s="524"/>
      <c r="J455" s="524"/>
      <c r="K455" s="568"/>
      <c r="M455" s="524"/>
    </row>
    <row r="456" spans="5:13" ht="12.3">
      <c r="E456" s="523"/>
      <c r="G456" s="524"/>
      <c r="H456" s="524"/>
      <c r="I456" s="524"/>
      <c r="J456" s="524"/>
      <c r="K456" s="568"/>
      <c r="M456" s="524"/>
    </row>
    <row r="457" spans="5:13" ht="12.3">
      <c r="E457" s="523"/>
      <c r="G457" s="524"/>
      <c r="H457" s="524"/>
      <c r="I457" s="524"/>
      <c r="J457" s="524"/>
      <c r="K457" s="568"/>
      <c r="M457" s="524"/>
    </row>
    <row r="458" spans="5:13" ht="12.3">
      <c r="E458" s="523"/>
      <c r="G458" s="524"/>
      <c r="H458" s="524"/>
      <c r="I458" s="524"/>
      <c r="J458" s="524"/>
      <c r="K458" s="568"/>
      <c r="M458" s="524"/>
    </row>
    <row r="459" spans="5:13" ht="12.3">
      <c r="E459" s="523"/>
      <c r="G459" s="524"/>
      <c r="H459" s="524"/>
      <c r="I459" s="524"/>
      <c r="J459" s="524"/>
      <c r="K459" s="568"/>
      <c r="M459" s="524"/>
    </row>
    <row r="460" spans="5:13" ht="12.3">
      <c r="E460" s="523"/>
      <c r="G460" s="524"/>
      <c r="H460" s="524"/>
      <c r="I460" s="524"/>
      <c r="J460" s="524"/>
      <c r="K460" s="568"/>
      <c r="M460" s="524"/>
    </row>
    <row r="461" spans="5:13" ht="12.3">
      <c r="E461" s="523"/>
      <c r="G461" s="524"/>
      <c r="H461" s="524"/>
      <c r="I461" s="524"/>
      <c r="J461" s="524"/>
      <c r="K461" s="568"/>
      <c r="M461" s="524"/>
    </row>
    <row r="462" spans="5:13" ht="12.3">
      <c r="E462" s="523"/>
      <c r="G462" s="524"/>
      <c r="H462" s="524"/>
      <c r="I462" s="524"/>
      <c r="J462" s="524"/>
      <c r="K462" s="568"/>
      <c r="M462" s="524"/>
    </row>
    <row r="463" spans="5:13" ht="12.3">
      <c r="E463" s="523"/>
      <c r="G463" s="524"/>
      <c r="H463" s="524"/>
      <c r="I463" s="524"/>
      <c r="J463" s="524"/>
      <c r="K463" s="568"/>
      <c r="M463" s="524"/>
    </row>
    <row r="464" spans="5:13" ht="12.3">
      <c r="E464" s="523"/>
      <c r="G464" s="524"/>
      <c r="H464" s="524"/>
      <c r="I464" s="524"/>
      <c r="J464" s="524"/>
      <c r="K464" s="568"/>
      <c r="M464" s="524"/>
    </row>
    <row r="465" spans="5:13" ht="12.3">
      <c r="E465" s="523"/>
      <c r="G465" s="524"/>
      <c r="H465" s="524"/>
      <c r="I465" s="524"/>
      <c r="J465" s="524"/>
      <c r="K465" s="568"/>
      <c r="M465" s="524"/>
    </row>
    <row r="466" spans="5:13" ht="12.3">
      <c r="E466" s="523"/>
      <c r="G466" s="524"/>
      <c r="H466" s="524"/>
      <c r="I466" s="524"/>
      <c r="J466" s="524"/>
      <c r="K466" s="568"/>
      <c r="M466" s="524"/>
    </row>
    <row r="467" spans="5:13" ht="12.3">
      <c r="E467" s="523"/>
      <c r="G467" s="524"/>
      <c r="H467" s="524"/>
      <c r="I467" s="524"/>
      <c r="J467" s="524"/>
      <c r="K467" s="568"/>
      <c r="M467" s="524"/>
    </row>
    <row r="468" spans="5:13" ht="12.3">
      <c r="E468" s="523"/>
      <c r="G468" s="524"/>
      <c r="H468" s="524"/>
      <c r="I468" s="524"/>
      <c r="J468" s="524"/>
      <c r="K468" s="568"/>
      <c r="M468" s="524"/>
    </row>
    <row r="469" spans="5:13" ht="12.3">
      <c r="E469" s="523"/>
      <c r="G469" s="524"/>
      <c r="H469" s="524"/>
      <c r="I469" s="524"/>
      <c r="J469" s="524"/>
      <c r="K469" s="568"/>
      <c r="M469" s="524"/>
    </row>
    <row r="470" spans="5:13" ht="12.3">
      <c r="E470" s="523"/>
      <c r="G470" s="524"/>
      <c r="H470" s="524"/>
      <c r="I470" s="524"/>
      <c r="J470" s="524"/>
      <c r="K470" s="568"/>
      <c r="M470" s="524"/>
    </row>
    <row r="471" spans="5:13" ht="12.3">
      <c r="E471" s="523"/>
      <c r="G471" s="524"/>
      <c r="H471" s="524"/>
      <c r="I471" s="524"/>
      <c r="J471" s="524"/>
      <c r="K471" s="568"/>
      <c r="M471" s="524"/>
    </row>
    <row r="472" spans="5:13" ht="12.3">
      <c r="E472" s="523"/>
      <c r="G472" s="524"/>
      <c r="H472" s="524"/>
      <c r="I472" s="524"/>
      <c r="J472" s="524"/>
      <c r="K472" s="568"/>
      <c r="M472" s="524"/>
    </row>
    <row r="473" spans="5:13" ht="12.3">
      <c r="E473" s="523"/>
      <c r="G473" s="524"/>
      <c r="H473" s="524"/>
      <c r="I473" s="524"/>
      <c r="J473" s="524"/>
      <c r="K473" s="568"/>
      <c r="M473" s="524"/>
    </row>
    <row r="474" spans="5:13" ht="12.3">
      <c r="E474" s="523"/>
      <c r="G474" s="524"/>
      <c r="H474" s="524"/>
      <c r="I474" s="524"/>
      <c r="J474" s="524"/>
      <c r="K474" s="568"/>
      <c r="M474" s="524"/>
    </row>
    <row r="475" spans="5:13" ht="12.3">
      <c r="E475" s="523"/>
      <c r="G475" s="524"/>
      <c r="H475" s="524"/>
      <c r="I475" s="524"/>
      <c r="J475" s="524"/>
      <c r="K475" s="568"/>
      <c r="M475" s="524"/>
    </row>
    <row r="476" spans="5:13" ht="12.3">
      <c r="E476" s="523"/>
      <c r="G476" s="524"/>
      <c r="H476" s="524"/>
      <c r="I476" s="524"/>
      <c r="J476" s="524"/>
      <c r="K476" s="568"/>
      <c r="M476" s="524"/>
    </row>
    <row r="477" spans="5:13" ht="12.3">
      <c r="E477" s="523"/>
      <c r="G477" s="524"/>
      <c r="H477" s="524"/>
      <c r="I477" s="524"/>
      <c r="J477" s="524"/>
      <c r="K477" s="568"/>
      <c r="M477" s="524"/>
    </row>
    <row r="478" spans="5:13" ht="12.3">
      <c r="E478" s="523"/>
      <c r="G478" s="524"/>
      <c r="H478" s="524"/>
      <c r="I478" s="524"/>
      <c r="J478" s="524"/>
      <c r="K478" s="568"/>
      <c r="M478" s="524"/>
    </row>
    <row r="479" spans="5:13" ht="12.3">
      <c r="E479" s="523"/>
      <c r="G479" s="524"/>
      <c r="H479" s="524"/>
      <c r="I479" s="524"/>
      <c r="J479" s="524"/>
      <c r="K479" s="568"/>
      <c r="M479" s="524"/>
    </row>
    <row r="480" spans="5:13" ht="12.3">
      <c r="E480" s="523"/>
      <c r="G480" s="524"/>
      <c r="H480" s="524"/>
      <c r="I480" s="524"/>
      <c r="J480" s="524"/>
      <c r="K480" s="568"/>
      <c r="M480" s="524"/>
    </row>
    <row r="481" spans="5:13" ht="12.3">
      <c r="E481" s="523"/>
      <c r="G481" s="524"/>
      <c r="H481" s="524"/>
      <c r="I481" s="524"/>
      <c r="J481" s="524"/>
      <c r="K481" s="568"/>
      <c r="M481" s="524"/>
    </row>
    <row r="482" spans="5:13" ht="12.3">
      <c r="E482" s="523"/>
      <c r="G482" s="524"/>
      <c r="H482" s="524"/>
      <c r="I482" s="524"/>
      <c r="J482" s="524"/>
      <c r="K482" s="568"/>
      <c r="M482" s="524"/>
    </row>
    <row r="483" spans="5:13" ht="12.3">
      <c r="E483" s="523"/>
      <c r="G483" s="524"/>
      <c r="H483" s="524"/>
      <c r="I483" s="524"/>
      <c r="J483" s="524"/>
      <c r="K483" s="568"/>
      <c r="M483" s="524"/>
    </row>
    <row r="484" spans="5:13" ht="12.3">
      <c r="E484" s="523"/>
      <c r="G484" s="524"/>
      <c r="H484" s="524"/>
      <c r="I484" s="524"/>
      <c r="J484" s="524"/>
      <c r="K484" s="568"/>
      <c r="M484" s="524"/>
    </row>
    <row r="485" spans="5:13" ht="12.3">
      <c r="E485" s="523"/>
      <c r="G485" s="524"/>
      <c r="H485" s="524"/>
      <c r="I485" s="524"/>
      <c r="J485" s="524"/>
      <c r="K485" s="568"/>
      <c r="M485" s="524"/>
    </row>
    <row r="486" spans="5:13" ht="12.3">
      <c r="E486" s="523"/>
      <c r="G486" s="524"/>
      <c r="H486" s="524"/>
      <c r="I486" s="524"/>
      <c r="J486" s="524"/>
      <c r="K486" s="568"/>
      <c r="M486" s="524"/>
    </row>
    <row r="487" spans="5:13" ht="12.3">
      <c r="E487" s="523"/>
      <c r="G487" s="524"/>
      <c r="H487" s="524"/>
      <c r="I487" s="524"/>
      <c r="J487" s="524"/>
      <c r="K487" s="568"/>
      <c r="M487" s="524"/>
    </row>
    <row r="488" spans="5:13" ht="12.3">
      <c r="E488" s="523"/>
      <c r="G488" s="524"/>
      <c r="H488" s="524"/>
      <c r="I488" s="524"/>
      <c r="J488" s="524"/>
      <c r="K488" s="568"/>
      <c r="M488" s="524"/>
    </row>
    <row r="489" spans="5:13" ht="12.3">
      <c r="E489" s="523"/>
      <c r="G489" s="524"/>
      <c r="H489" s="524"/>
      <c r="I489" s="524"/>
      <c r="J489" s="524"/>
      <c r="K489" s="568"/>
      <c r="M489" s="524"/>
    </row>
    <row r="490" spans="5:13" ht="12.3">
      <c r="E490" s="523"/>
      <c r="G490" s="524"/>
      <c r="H490" s="524"/>
      <c r="I490" s="524"/>
      <c r="J490" s="524"/>
      <c r="K490" s="568"/>
      <c r="M490" s="524"/>
    </row>
    <row r="491" spans="5:13" ht="12.3">
      <c r="E491" s="523"/>
      <c r="G491" s="524"/>
      <c r="H491" s="524"/>
      <c r="I491" s="524"/>
      <c r="J491" s="524"/>
      <c r="K491" s="568"/>
      <c r="M491" s="524"/>
    </row>
    <row r="492" spans="5:13" ht="12.3">
      <c r="E492" s="523"/>
      <c r="G492" s="524"/>
      <c r="H492" s="524"/>
      <c r="I492" s="524"/>
      <c r="J492" s="524"/>
      <c r="K492" s="568"/>
      <c r="M492" s="524"/>
    </row>
    <row r="493" spans="5:13" ht="12.3">
      <c r="E493" s="523"/>
      <c r="G493" s="524"/>
      <c r="H493" s="524"/>
      <c r="I493" s="524"/>
      <c r="J493" s="524"/>
      <c r="K493" s="568"/>
      <c r="M493" s="524"/>
    </row>
    <row r="494" spans="5:13" ht="12.3">
      <c r="E494" s="523"/>
      <c r="G494" s="524"/>
      <c r="H494" s="524"/>
      <c r="I494" s="524"/>
      <c r="J494" s="524"/>
      <c r="K494" s="568"/>
      <c r="M494" s="524"/>
    </row>
    <row r="495" spans="5:13" ht="12.3">
      <c r="E495" s="523"/>
      <c r="G495" s="524"/>
      <c r="H495" s="524"/>
      <c r="I495" s="524"/>
      <c r="J495" s="524"/>
      <c r="K495" s="568"/>
      <c r="M495" s="524"/>
    </row>
    <row r="496" spans="5:13" ht="12.3">
      <c r="E496" s="523"/>
      <c r="G496" s="524"/>
      <c r="H496" s="524"/>
      <c r="I496" s="524"/>
      <c r="J496" s="524"/>
      <c r="K496" s="568"/>
      <c r="M496" s="524"/>
    </row>
    <row r="497" spans="5:13" ht="12.3">
      <c r="E497" s="523"/>
      <c r="G497" s="524"/>
      <c r="H497" s="524"/>
      <c r="I497" s="524"/>
      <c r="J497" s="524"/>
      <c r="K497" s="568"/>
      <c r="M497" s="524"/>
    </row>
    <row r="498" spans="5:13" ht="12.3">
      <c r="E498" s="523"/>
      <c r="G498" s="524"/>
      <c r="H498" s="524"/>
      <c r="I498" s="524"/>
      <c r="J498" s="524"/>
      <c r="K498" s="568"/>
      <c r="M498" s="524"/>
    </row>
    <row r="499" spans="5:13" ht="12.3">
      <c r="E499" s="523"/>
      <c r="G499" s="524"/>
      <c r="H499" s="524"/>
      <c r="I499" s="524"/>
      <c r="J499" s="524"/>
      <c r="K499" s="568"/>
      <c r="M499" s="524"/>
    </row>
    <row r="500" spans="5:13" ht="12.3">
      <c r="E500" s="523"/>
      <c r="G500" s="524"/>
      <c r="H500" s="524"/>
      <c r="I500" s="524"/>
      <c r="J500" s="524"/>
      <c r="K500" s="568"/>
      <c r="M500" s="524"/>
    </row>
    <row r="501" spans="5:13" ht="12.3">
      <c r="E501" s="523"/>
      <c r="G501" s="524"/>
      <c r="H501" s="524"/>
      <c r="I501" s="524"/>
      <c r="J501" s="524"/>
      <c r="K501" s="568"/>
      <c r="M501" s="524"/>
    </row>
    <row r="502" spans="5:13" ht="12.3">
      <c r="E502" s="523"/>
      <c r="G502" s="524"/>
      <c r="H502" s="524"/>
      <c r="I502" s="524"/>
      <c r="J502" s="524"/>
      <c r="K502" s="568"/>
      <c r="M502" s="524"/>
    </row>
    <row r="503" spans="5:13" ht="12.3">
      <c r="E503" s="523"/>
      <c r="G503" s="524"/>
      <c r="H503" s="524"/>
      <c r="I503" s="524"/>
      <c r="J503" s="524"/>
      <c r="K503" s="568"/>
      <c r="M503" s="524"/>
    </row>
    <row r="504" spans="5:13" ht="12.3">
      <c r="E504" s="523"/>
      <c r="G504" s="524"/>
      <c r="H504" s="524"/>
      <c r="I504" s="524"/>
      <c r="J504" s="524"/>
      <c r="K504" s="568"/>
      <c r="M504" s="524"/>
    </row>
    <row r="505" spans="5:13" ht="12.3">
      <c r="E505" s="523"/>
      <c r="G505" s="524"/>
      <c r="H505" s="524"/>
      <c r="I505" s="524"/>
      <c r="J505" s="524"/>
      <c r="K505" s="568"/>
      <c r="M505" s="524"/>
    </row>
    <row r="506" spans="5:13" ht="12.3">
      <c r="E506" s="523"/>
      <c r="G506" s="524"/>
      <c r="H506" s="524"/>
      <c r="I506" s="524"/>
      <c r="J506" s="524"/>
      <c r="K506" s="568"/>
      <c r="M506" s="524"/>
    </row>
    <row r="507" spans="5:13" ht="12.3">
      <c r="E507" s="523"/>
      <c r="G507" s="524"/>
      <c r="H507" s="524"/>
      <c r="I507" s="524"/>
      <c r="J507" s="524"/>
      <c r="K507" s="568"/>
      <c r="M507" s="524"/>
    </row>
    <row r="508" spans="5:13" ht="12.3">
      <c r="E508" s="523"/>
      <c r="G508" s="524"/>
      <c r="H508" s="524"/>
      <c r="I508" s="524"/>
      <c r="J508" s="524"/>
      <c r="K508" s="568"/>
      <c r="M508" s="524"/>
    </row>
    <row r="509" spans="5:13" ht="12.3">
      <c r="E509" s="523"/>
      <c r="G509" s="524"/>
      <c r="H509" s="524"/>
      <c r="I509" s="524"/>
      <c r="J509" s="524"/>
      <c r="K509" s="568"/>
      <c r="M509" s="524"/>
    </row>
    <row r="510" spans="5:13" ht="12.3">
      <c r="E510" s="523"/>
      <c r="G510" s="524"/>
      <c r="H510" s="524"/>
      <c r="I510" s="524"/>
      <c r="J510" s="524"/>
      <c r="K510" s="568"/>
      <c r="M510" s="524"/>
    </row>
    <row r="511" spans="5:13" ht="12.3">
      <c r="E511" s="523"/>
      <c r="G511" s="524"/>
      <c r="H511" s="524"/>
      <c r="I511" s="524"/>
      <c r="J511" s="524"/>
      <c r="K511" s="568"/>
      <c r="M511" s="524"/>
    </row>
    <row r="512" spans="5:13" ht="12.3">
      <c r="E512" s="523"/>
      <c r="G512" s="524"/>
      <c r="H512" s="524"/>
      <c r="I512" s="524"/>
      <c r="J512" s="524"/>
      <c r="K512" s="568"/>
      <c r="M512" s="524"/>
    </row>
    <row r="513" spans="5:13" ht="12.3">
      <c r="E513" s="523"/>
      <c r="G513" s="524"/>
      <c r="H513" s="524"/>
      <c r="I513" s="524"/>
      <c r="J513" s="524"/>
      <c r="K513" s="568"/>
      <c r="M513" s="524"/>
    </row>
    <row r="514" spans="5:13" ht="12.3">
      <c r="E514" s="523"/>
      <c r="G514" s="524"/>
      <c r="H514" s="524"/>
      <c r="I514" s="524"/>
      <c r="J514" s="524"/>
      <c r="K514" s="568"/>
      <c r="M514" s="524"/>
    </row>
    <row r="515" spans="5:13" ht="12.3">
      <c r="E515" s="523"/>
      <c r="G515" s="524"/>
      <c r="H515" s="524"/>
      <c r="I515" s="524"/>
      <c r="J515" s="524"/>
      <c r="K515" s="568"/>
      <c r="M515" s="524"/>
    </row>
    <row r="516" spans="5:13" ht="12.3">
      <c r="E516" s="523"/>
      <c r="G516" s="524"/>
      <c r="H516" s="524"/>
      <c r="I516" s="524"/>
      <c r="J516" s="524"/>
      <c r="K516" s="568"/>
      <c r="M516" s="524"/>
    </row>
    <row r="517" spans="5:13" ht="12.3">
      <c r="E517" s="523"/>
      <c r="G517" s="524"/>
      <c r="H517" s="524"/>
      <c r="I517" s="524"/>
      <c r="J517" s="524"/>
      <c r="K517" s="568"/>
      <c r="M517" s="524"/>
    </row>
    <row r="518" spans="5:13" ht="12.3">
      <c r="E518" s="523"/>
      <c r="G518" s="524"/>
      <c r="H518" s="524"/>
      <c r="I518" s="524"/>
      <c r="J518" s="524"/>
      <c r="K518" s="568"/>
      <c r="M518" s="524"/>
    </row>
    <row r="519" spans="5:13" ht="12.3">
      <c r="E519" s="523"/>
      <c r="G519" s="524"/>
      <c r="H519" s="524"/>
      <c r="I519" s="524"/>
      <c r="J519" s="524"/>
      <c r="K519" s="568"/>
      <c r="M519" s="524"/>
    </row>
    <row r="520" spans="5:13" ht="12.3">
      <c r="E520" s="523"/>
      <c r="G520" s="524"/>
      <c r="H520" s="524"/>
      <c r="I520" s="524"/>
      <c r="J520" s="524"/>
      <c r="K520" s="568"/>
      <c r="M520" s="524"/>
    </row>
    <row r="521" spans="5:13" ht="12.3">
      <c r="E521" s="523"/>
      <c r="G521" s="524"/>
      <c r="H521" s="524"/>
      <c r="I521" s="524"/>
      <c r="J521" s="524"/>
      <c r="K521" s="568"/>
      <c r="M521" s="524"/>
    </row>
    <row r="522" spans="5:13" ht="12.3">
      <c r="E522" s="523"/>
      <c r="G522" s="524"/>
      <c r="H522" s="524"/>
      <c r="I522" s="524"/>
      <c r="J522" s="524"/>
      <c r="K522" s="568"/>
      <c r="M522" s="524"/>
    </row>
    <row r="523" spans="5:13" ht="12.3">
      <c r="E523" s="523"/>
      <c r="G523" s="524"/>
      <c r="H523" s="524"/>
      <c r="I523" s="524"/>
      <c r="J523" s="524"/>
      <c r="K523" s="568"/>
      <c r="M523" s="524"/>
    </row>
    <row r="524" spans="5:13" ht="12.3">
      <c r="E524" s="523"/>
      <c r="G524" s="524"/>
      <c r="H524" s="524"/>
      <c r="I524" s="524"/>
      <c r="J524" s="524"/>
      <c r="K524" s="568"/>
      <c r="M524" s="524"/>
    </row>
    <row r="525" spans="5:13" ht="12.3">
      <c r="E525" s="523"/>
      <c r="G525" s="524"/>
      <c r="H525" s="524"/>
      <c r="I525" s="524"/>
      <c r="J525" s="524"/>
      <c r="K525" s="568"/>
      <c r="M525" s="524"/>
    </row>
    <row r="526" spans="5:13" ht="12.3">
      <c r="E526" s="523"/>
      <c r="G526" s="524"/>
      <c r="H526" s="524"/>
      <c r="I526" s="524"/>
      <c r="J526" s="524"/>
      <c r="K526" s="568"/>
      <c r="M526" s="524"/>
    </row>
    <row r="527" spans="5:13" ht="12.3">
      <c r="E527" s="523"/>
      <c r="G527" s="524"/>
      <c r="H527" s="524"/>
      <c r="I527" s="524"/>
      <c r="J527" s="524"/>
      <c r="K527" s="568"/>
      <c r="M527" s="524"/>
    </row>
    <row r="528" spans="5:13" ht="12.3">
      <c r="E528" s="523"/>
      <c r="G528" s="524"/>
      <c r="H528" s="524"/>
      <c r="I528" s="524"/>
      <c r="J528" s="524"/>
      <c r="K528" s="568"/>
      <c r="M528" s="524"/>
    </row>
    <row r="529" spans="5:13" ht="12.3">
      <c r="E529" s="523"/>
      <c r="G529" s="524"/>
      <c r="H529" s="524"/>
      <c r="I529" s="524"/>
      <c r="J529" s="524"/>
      <c r="K529" s="568"/>
      <c r="M529" s="524"/>
    </row>
    <row r="530" spans="5:13" ht="12.3">
      <c r="E530" s="523"/>
      <c r="G530" s="524"/>
      <c r="H530" s="524"/>
      <c r="I530" s="524"/>
      <c r="J530" s="524"/>
      <c r="K530" s="568"/>
      <c r="M530" s="524"/>
    </row>
    <row r="531" spans="5:13" ht="12.3">
      <c r="E531" s="523"/>
      <c r="G531" s="524"/>
      <c r="H531" s="524"/>
      <c r="I531" s="524"/>
      <c r="J531" s="524"/>
      <c r="K531" s="568"/>
      <c r="M531" s="524"/>
    </row>
    <row r="532" spans="5:13" ht="12.3">
      <c r="E532" s="523"/>
      <c r="G532" s="524"/>
      <c r="H532" s="524"/>
      <c r="I532" s="524"/>
      <c r="J532" s="524"/>
      <c r="K532" s="568"/>
      <c r="M532" s="524"/>
    </row>
    <row r="533" spans="5:13" ht="12.3">
      <c r="E533" s="523"/>
      <c r="G533" s="524"/>
      <c r="H533" s="524"/>
      <c r="I533" s="524"/>
      <c r="J533" s="524"/>
      <c r="K533" s="568"/>
      <c r="M533" s="524"/>
    </row>
    <row r="534" spans="5:13" ht="12.3">
      <c r="E534" s="523"/>
      <c r="G534" s="524"/>
      <c r="H534" s="524"/>
      <c r="I534" s="524"/>
      <c r="J534" s="524"/>
      <c r="K534" s="568"/>
      <c r="M534" s="524"/>
    </row>
    <row r="535" spans="5:13" ht="12.3">
      <c r="E535" s="523"/>
      <c r="G535" s="524"/>
      <c r="H535" s="524"/>
      <c r="I535" s="524"/>
      <c r="J535" s="524"/>
      <c r="K535" s="568"/>
      <c r="M535" s="524"/>
    </row>
    <row r="536" spans="5:13" ht="12.3">
      <c r="E536" s="523"/>
      <c r="G536" s="524"/>
      <c r="H536" s="524"/>
      <c r="I536" s="524"/>
      <c r="J536" s="524"/>
      <c r="K536" s="568"/>
      <c r="M536" s="524"/>
    </row>
    <row r="537" spans="5:13" ht="12.3">
      <c r="E537" s="523"/>
      <c r="G537" s="524"/>
      <c r="H537" s="524"/>
      <c r="I537" s="524"/>
      <c r="J537" s="524"/>
      <c r="K537" s="568"/>
      <c r="M537" s="524"/>
    </row>
    <row r="538" spans="5:13" ht="12.3">
      <c r="E538" s="523"/>
      <c r="G538" s="524"/>
      <c r="H538" s="524"/>
      <c r="I538" s="524"/>
      <c r="J538" s="524"/>
      <c r="K538" s="568"/>
      <c r="M538" s="524"/>
    </row>
    <row r="539" spans="5:13" ht="12.3">
      <c r="E539" s="523"/>
      <c r="G539" s="524"/>
      <c r="H539" s="524"/>
      <c r="I539" s="524"/>
      <c r="J539" s="524"/>
      <c r="K539" s="568"/>
      <c r="M539" s="524"/>
    </row>
    <row r="540" spans="5:13" ht="12.3">
      <c r="E540" s="523"/>
      <c r="G540" s="524"/>
      <c r="H540" s="524"/>
      <c r="I540" s="524"/>
      <c r="J540" s="524"/>
      <c r="K540" s="568"/>
      <c r="M540" s="524"/>
    </row>
    <row r="541" spans="5:13" ht="12.3">
      <c r="E541" s="523"/>
      <c r="G541" s="524"/>
      <c r="H541" s="524"/>
      <c r="I541" s="524"/>
      <c r="J541" s="524"/>
      <c r="K541" s="568"/>
      <c r="M541" s="524"/>
    </row>
    <row r="542" spans="5:13" ht="12.3">
      <c r="E542" s="523"/>
      <c r="G542" s="524"/>
      <c r="H542" s="524"/>
      <c r="I542" s="524"/>
      <c r="J542" s="524"/>
      <c r="K542" s="568"/>
      <c r="M542" s="524"/>
    </row>
    <row r="543" spans="5:13" ht="12.3">
      <c r="E543" s="523"/>
      <c r="G543" s="524"/>
      <c r="H543" s="524"/>
      <c r="I543" s="524"/>
      <c r="J543" s="524"/>
      <c r="K543" s="568"/>
      <c r="M543" s="524"/>
    </row>
    <row r="544" spans="5:13" ht="12.3">
      <c r="E544" s="523"/>
      <c r="G544" s="524"/>
      <c r="H544" s="524"/>
      <c r="I544" s="524"/>
      <c r="J544" s="524"/>
      <c r="K544" s="568"/>
      <c r="M544" s="524"/>
    </row>
    <row r="545" spans="5:13" ht="12.3">
      <c r="E545" s="523"/>
      <c r="G545" s="524"/>
      <c r="H545" s="524"/>
      <c r="I545" s="524"/>
      <c r="J545" s="524"/>
      <c r="K545" s="568"/>
      <c r="M545" s="524"/>
    </row>
    <row r="546" spans="5:13" ht="12.3">
      <c r="E546" s="523"/>
      <c r="G546" s="524"/>
      <c r="H546" s="524"/>
      <c r="I546" s="524"/>
      <c r="J546" s="524"/>
      <c r="K546" s="568"/>
      <c r="M546" s="524"/>
    </row>
    <row r="547" spans="5:13" ht="12.3">
      <c r="E547" s="523"/>
      <c r="G547" s="524"/>
      <c r="H547" s="524"/>
      <c r="I547" s="524"/>
      <c r="J547" s="524"/>
      <c r="K547" s="568"/>
      <c r="M547" s="524"/>
    </row>
    <row r="548" spans="5:13" ht="12.3">
      <c r="E548" s="523"/>
      <c r="G548" s="524"/>
      <c r="H548" s="524"/>
      <c r="I548" s="524"/>
      <c r="J548" s="524"/>
      <c r="K548" s="568"/>
      <c r="M548" s="524"/>
    </row>
    <row r="549" spans="5:13" ht="12.3">
      <c r="E549" s="523"/>
      <c r="G549" s="524"/>
      <c r="H549" s="524"/>
      <c r="I549" s="524"/>
      <c r="J549" s="524"/>
      <c r="K549" s="568"/>
      <c r="M549" s="524"/>
    </row>
    <row r="550" spans="5:13" ht="12.3">
      <c r="E550" s="523"/>
      <c r="G550" s="524"/>
      <c r="H550" s="524"/>
      <c r="I550" s="524"/>
      <c r="J550" s="524"/>
      <c r="K550" s="568"/>
      <c r="M550" s="524"/>
    </row>
    <row r="551" spans="5:13" ht="12.3">
      <c r="E551" s="523"/>
      <c r="G551" s="524"/>
      <c r="H551" s="524"/>
      <c r="I551" s="524"/>
      <c r="J551" s="524"/>
      <c r="K551" s="568"/>
      <c r="M551" s="524"/>
    </row>
    <row r="552" spans="5:13" ht="12.3">
      <c r="E552" s="523"/>
      <c r="G552" s="524"/>
      <c r="H552" s="524"/>
      <c r="I552" s="524"/>
      <c r="J552" s="524"/>
      <c r="K552" s="568"/>
      <c r="M552" s="524"/>
    </row>
    <row r="553" spans="5:13" ht="12.3">
      <c r="E553" s="523"/>
      <c r="G553" s="524"/>
      <c r="H553" s="524"/>
      <c r="I553" s="524"/>
      <c r="J553" s="524"/>
      <c r="K553" s="568"/>
      <c r="M553" s="524"/>
    </row>
    <row r="554" spans="5:13" ht="12.3">
      <c r="E554" s="523"/>
      <c r="G554" s="524"/>
      <c r="H554" s="524"/>
      <c r="I554" s="524"/>
      <c r="J554" s="524"/>
      <c r="K554" s="568"/>
      <c r="M554" s="524"/>
    </row>
    <row r="555" spans="5:13" ht="12.3">
      <c r="E555" s="523"/>
      <c r="G555" s="524"/>
      <c r="H555" s="524"/>
      <c r="I555" s="524"/>
      <c r="J555" s="524"/>
      <c r="K555" s="568"/>
      <c r="M555" s="524"/>
    </row>
    <row r="556" spans="5:13" ht="12.3">
      <c r="E556" s="523"/>
      <c r="G556" s="524"/>
      <c r="H556" s="524"/>
      <c r="I556" s="524"/>
      <c r="J556" s="524"/>
      <c r="K556" s="568"/>
      <c r="M556" s="524"/>
    </row>
    <row r="557" spans="5:13" ht="12.3">
      <c r="E557" s="523"/>
      <c r="G557" s="524"/>
      <c r="H557" s="524"/>
      <c r="I557" s="524"/>
      <c r="J557" s="524"/>
      <c r="K557" s="568"/>
      <c r="M557" s="524"/>
    </row>
    <row r="558" spans="5:13" ht="12.3">
      <c r="E558" s="523"/>
      <c r="G558" s="524"/>
      <c r="H558" s="524"/>
      <c r="I558" s="524"/>
      <c r="J558" s="524"/>
      <c r="K558" s="568"/>
      <c r="M558" s="524"/>
    </row>
    <row r="559" spans="5:13" ht="12.3">
      <c r="E559" s="523"/>
      <c r="G559" s="524"/>
      <c r="H559" s="524"/>
      <c r="I559" s="524"/>
      <c r="J559" s="524"/>
      <c r="K559" s="568"/>
      <c r="M559" s="524"/>
    </row>
    <row r="560" spans="5:13" ht="12.3">
      <c r="E560" s="523"/>
      <c r="G560" s="524"/>
      <c r="H560" s="524"/>
      <c r="I560" s="524"/>
      <c r="J560" s="524"/>
      <c r="K560" s="568"/>
      <c r="M560" s="524"/>
    </row>
    <row r="561" spans="5:13" ht="12.3">
      <c r="E561" s="523"/>
      <c r="G561" s="524"/>
      <c r="H561" s="524"/>
      <c r="I561" s="524"/>
      <c r="J561" s="524"/>
      <c r="K561" s="568"/>
      <c r="M561" s="524"/>
    </row>
    <row r="562" spans="5:13" ht="12.3">
      <c r="E562" s="523"/>
      <c r="G562" s="524"/>
      <c r="H562" s="524"/>
      <c r="I562" s="524"/>
      <c r="J562" s="524"/>
      <c r="K562" s="568"/>
      <c r="M562" s="524"/>
    </row>
    <row r="563" spans="5:13" ht="12.3">
      <c r="E563" s="523"/>
      <c r="G563" s="524"/>
      <c r="H563" s="524"/>
      <c r="I563" s="524"/>
      <c r="J563" s="524"/>
      <c r="K563" s="568"/>
      <c r="M563" s="524"/>
    </row>
    <row r="564" spans="5:13" ht="12.3">
      <c r="E564" s="523"/>
      <c r="G564" s="524"/>
      <c r="H564" s="524"/>
      <c r="I564" s="524"/>
      <c r="J564" s="524"/>
      <c r="K564" s="568"/>
      <c r="M564" s="524"/>
    </row>
    <row r="565" spans="5:13" ht="12.3">
      <c r="E565" s="523"/>
      <c r="G565" s="524"/>
      <c r="H565" s="524"/>
      <c r="I565" s="524"/>
      <c r="J565" s="524"/>
      <c r="K565" s="568"/>
      <c r="M565" s="524"/>
    </row>
    <row r="566" spans="5:13" ht="12.3">
      <c r="E566" s="523"/>
      <c r="G566" s="524"/>
      <c r="H566" s="524"/>
      <c r="I566" s="524"/>
      <c r="J566" s="524"/>
      <c r="K566" s="568"/>
      <c r="M566" s="524"/>
    </row>
    <row r="567" spans="5:13" ht="12.3">
      <c r="E567" s="523"/>
      <c r="G567" s="524"/>
      <c r="H567" s="524"/>
      <c r="I567" s="524"/>
      <c r="J567" s="524"/>
      <c r="K567" s="568"/>
      <c r="M567" s="524"/>
    </row>
    <row r="568" spans="5:13" ht="12.3">
      <c r="E568" s="523"/>
      <c r="G568" s="524"/>
      <c r="H568" s="524"/>
      <c r="I568" s="524"/>
      <c r="J568" s="524"/>
      <c r="K568" s="568"/>
      <c r="M568" s="524"/>
    </row>
    <row r="569" spans="5:13" ht="12.3">
      <c r="E569" s="523"/>
      <c r="G569" s="524"/>
      <c r="H569" s="524"/>
      <c r="I569" s="524"/>
      <c r="J569" s="524"/>
      <c r="K569" s="568"/>
      <c r="M569" s="524"/>
    </row>
    <row r="570" spans="5:13" ht="12.3">
      <c r="E570" s="523"/>
      <c r="G570" s="524"/>
      <c r="H570" s="524"/>
      <c r="I570" s="524"/>
      <c r="J570" s="524"/>
      <c r="K570" s="568"/>
      <c r="M570" s="524"/>
    </row>
    <row r="571" spans="5:13" ht="12.3">
      <c r="E571" s="523"/>
      <c r="G571" s="524"/>
      <c r="H571" s="524"/>
      <c r="I571" s="524"/>
      <c r="J571" s="524"/>
      <c r="K571" s="568"/>
      <c r="M571" s="524"/>
    </row>
    <row r="572" spans="5:13" ht="12.3">
      <c r="E572" s="523"/>
      <c r="G572" s="524"/>
      <c r="H572" s="524"/>
      <c r="I572" s="524"/>
      <c r="J572" s="524"/>
      <c r="K572" s="568"/>
      <c r="M572" s="524"/>
    </row>
    <row r="573" spans="5:13" ht="12.3">
      <c r="E573" s="523"/>
      <c r="G573" s="524"/>
      <c r="H573" s="524"/>
      <c r="I573" s="524"/>
      <c r="J573" s="524"/>
      <c r="K573" s="568"/>
      <c r="M573" s="524"/>
    </row>
    <row r="574" spans="5:13" ht="12.3">
      <c r="E574" s="523"/>
      <c r="G574" s="524"/>
      <c r="H574" s="524"/>
      <c r="I574" s="524"/>
      <c r="J574" s="524"/>
      <c r="K574" s="568"/>
      <c r="M574" s="524"/>
    </row>
    <row r="575" spans="5:13" ht="12.3">
      <c r="E575" s="523"/>
      <c r="G575" s="524"/>
      <c r="H575" s="524"/>
      <c r="I575" s="524"/>
      <c r="J575" s="524"/>
      <c r="K575" s="568"/>
      <c r="M575" s="524"/>
    </row>
    <row r="576" spans="5:13" ht="12.3">
      <c r="E576" s="523"/>
      <c r="G576" s="524"/>
      <c r="H576" s="524"/>
      <c r="I576" s="524"/>
      <c r="J576" s="524"/>
      <c r="K576" s="568"/>
      <c r="M576" s="524"/>
    </row>
    <row r="577" spans="5:13" ht="12.3">
      <c r="E577" s="523"/>
      <c r="G577" s="524"/>
      <c r="H577" s="524"/>
      <c r="I577" s="524"/>
      <c r="J577" s="524"/>
      <c r="K577" s="568"/>
      <c r="M577" s="524"/>
    </row>
    <row r="578" spans="5:13" ht="12.3">
      <c r="E578" s="523"/>
      <c r="G578" s="524"/>
      <c r="H578" s="524"/>
      <c r="I578" s="524"/>
      <c r="J578" s="524"/>
      <c r="K578" s="568"/>
      <c r="M578" s="524"/>
    </row>
    <row r="579" spans="5:13" ht="12.3">
      <c r="E579" s="523"/>
      <c r="G579" s="524"/>
      <c r="H579" s="524"/>
      <c r="I579" s="524"/>
      <c r="J579" s="524"/>
      <c r="K579" s="568"/>
      <c r="M579" s="524"/>
    </row>
    <row r="580" spans="5:13" ht="12.3">
      <c r="E580" s="523"/>
      <c r="G580" s="524"/>
      <c r="H580" s="524"/>
      <c r="I580" s="524"/>
      <c r="J580" s="524"/>
      <c r="K580" s="568"/>
      <c r="M580" s="524"/>
    </row>
    <row r="581" spans="5:13" ht="12.3">
      <c r="E581" s="523"/>
      <c r="G581" s="524"/>
      <c r="H581" s="524"/>
      <c r="I581" s="524"/>
      <c r="J581" s="524"/>
      <c r="K581" s="568"/>
      <c r="M581" s="524"/>
    </row>
    <row r="582" spans="5:13" ht="12.3">
      <c r="E582" s="523"/>
      <c r="G582" s="524"/>
      <c r="H582" s="524"/>
      <c r="I582" s="524"/>
      <c r="J582" s="524"/>
      <c r="K582" s="568"/>
      <c r="M582" s="524"/>
    </row>
    <row r="583" spans="5:13" ht="12.3">
      <c r="E583" s="523"/>
      <c r="G583" s="524"/>
      <c r="H583" s="524"/>
      <c r="I583" s="524"/>
      <c r="J583" s="524"/>
      <c r="K583" s="568"/>
      <c r="M583" s="524"/>
    </row>
    <row r="584" spans="5:13" ht="12.3">
      <c r="E584" s="523"/>
      <c r="G584" s="524"/>
      <c r="H584" s="524"/>
      <c r="I584" s="524"/>
      <c r="J584" s="524"/>
      <c r="K584" s="568"/>
      <c r="M584" s="524"/>
    </row>
    <row r="585" spans="5:13" ht="12.3">
      <c r="E585" s="523"/>
      <c r="G585" s="524"/>
      <c r="H585" s="524"/>
      <c r="I585" s="524"/>
      <c r="J585" s="524"/>
      <c r="K585" s="568"/>
      <c r="M585" s="524"/>
    </row>
    <row r="586" spans="5:13" ht="12.3">
      <c r="E586" s="523"/>
      <c r="G586" s="524"/>
      <c r="H586" s="524"/>
      <c r="I586" s="524"/>
      <c r="J586" s="524"/>
      <c r="K586" s="568"/>
      <c r="M586" s="524"/>
    </row>
    <row r="587" spans="5:13" ht="12.3">
      <c r="E587" s="523"/>
      <c r="G587" s="524"/>
      <c r="H587" s="524"/>
      <c r="I587" s="524"/>
      <c r="J587" s="524"/>
      <c r="K587" s="568"/>
      <c r="M587" s="524"/>
    </row>
    <row r="588" spans="5:13" ht="12.3">
      <c r="E588" s="523"/>
      <c r="G588" s="524"/>
      <c r="H588" s="524"/>
      <c r="I588" s="524"/>
      <c r="J588" s="524"/>
      <c r="K588" s="568"/>
      <c r="M588" s="524"/>
    </row>
    <row r="589" spans="5:13" ht="12.3">
      <c r="E589" s="523"/>
      <c r="G589" s="524"/>
      <c r="H589" s="524"/>
      <c r="I589" s="524"/>
      <c r="J589" s="524"/>
      <c r="K589" s="568"/>
      <c r="M589" s="524"/>
    </row>
    <row r="590" spans="5:13" ht="12.3">
      <c r="E590" s="523"/>
      <c r="G590" s="524"/>
      <c r="H590" s="524"/>
      <c r="I590" s="524"/>
      <c r="J590" s="524"/>
      <c r="K590" s="568"/>
      <c r="M590" s="524"/>
    </row>
    <row r="591" spans="5:13" ht="12.3">
      <c r="E591" s="523"/>
      <c r="G591" s="524"/>
      <c r="H591" s="524"/>
      <c r="I591" s="524"/>
      <c r="J591" s="524"/>
      <c r="K591" s="568"/>
      <c r="M591" s="524"/>
    </row>
    <row r="592" spans="5:13" ht="12.3">
      <c r="E592" s="523"/>
      <c r="G592" s="524"/>
      <c r="H592" s="524"/>
      <c r="I592" s="524"/>
      <c r="J592" s="524"/>
      <c r="K592" s="568"/>
      <c r="M592" s="524"/>
    </row>
    <row r="593" spans="5:13" ht="12.3">
      <c r="E593" s="523"/>
      <c r="G593" s="524"/>
      <c r="H593" s="524"/>
      <c r="I593" s="524"/>
      <c r="J593" s="524"/>
      <c r="K593" s="568"/>
      <c r="M593" s="524"/>
    </row>
    <row r="594" spans="5:13" ht="12.3">
      <c r="E594" s="523"/>
      <c r="G594" s="524"/>
      <c r="H594" s="524"/>
      <c r="I594" s="524"/>
      <c r="J594" s="524"/>
      <c r="K594" s="568"/>
      <c r="M594" s="524"/>
    </row>
    <row r="595" spans="5:13" ht="12.3">
      <c r="E595" s="523"/>
      <c r="G595" s="524"/>
      <c r="H595" s="524"/>
      <c r="I595" s="524"/>
      <c r="J595" s="524"/>
      <c r="K595" s="568"/>
      <c r="M595" s="524"/>
    </row>
    <row r="596" spans="5:13" ht="12.3">
      <c r="E596" s="523"/>
      <c r="G596" s="524"/>
      <c r="H596" s="524"/>
      <c r="I596" s="524"/>
      <c r="J596" s="524"/>
      <c r="K596" s="568"/>
      <c r="M596" s="524"/>
    </row>
    <row r="597" spans="5:13" ht="12.3">
      <c r="E597" s="523"/>
      <c r="G597" s="524"/>
      <c r="H597" s="524"/>
      <c r="I597" s="524"/>
      <c r="J597" s="524"/>
      <c r="K597" s="568"/>
      <c r="M597" s="524"/>
    </row>
    <row r="598" spans="5:13" ht="12.3">
      <c r="E598" s="523"/>
      <c r="G598" s="524"/>
      <c r="H598" s="524"/>
      <c r="I598" s="524"/>
      <c r="J598" s="524"/>
      <c r="K598" s="568"/>
      <c r="M598" s="524"/>
    </row>
    <row r="599" spans="5:13" ht="12.3">
      <c r="E599" s="523"/>
      <c r="G599" s="524"/>
      <c r="H599" s="524"/>
      <c r="I599" s="524"/>
      <c r="J599" s="524"/>
      <c r="K599" s="568"/>
      <c r="M599" s="524"/>
    </row>
    <row r="600" spans="5:13" ht="12.3">
      <c r="E600" s="523"/>
      <c r="G600" s="524"/>
      <c r="H600" s="524"/>
      <c r="I600" s="524"/>
      <c r="J600" s="524"/>
      <c r="K600" s="568"/>
      <c r="M600" s="524"/>
    </row>
    <row r="601" spans="5:13" ht="12.3">
      <c r="E601" s="523"/>
      <c r="G601" s="524"/>
      <c r="H601" s="524"/>
      <c r="I601" s="524"/>
      <c r="J601" s="524"/>
      <c r="K601" s="568"/>
      <c r="M601" s="524"/>
    </row>
    <row r="602" spans="5:13" ht="12.3">
      <c r="E602" s="523"/>
      <c r="G602" s="524"/>
      <c r="H602" s="524"/>
      <c r="I602" s="524"/>
      <c r="J602" s="524"/>
      <c r="K602" s="568"/>
      <c r="M602" s="524"/>
    </row>
    <row r="603" spans="5:13" ht="12.3">
      <c r="E603" s="523"/>
      <c r="G603" s="524"/>
      <c r="H603" s="524"/>
      <c r="I603" s="524"/>
      <c r="J603" s="524"/>
      <c r="K603" s="568"/>
      <c r="M603" s="524"/>
    </row>
    <row r="604" spans="5:13" ht="12.3">
      <c r="E604" s="523"/>
      <c r="G604" s="524"/>
      <c r="H604" s="524"/>
      <c r="I604" s="524"/>
      <c r="J604" s="524"/>
      <c r="K604" s="568"/>
      <c r="M604" s="524"/>
    </row>
    <row r="605" spans="5:13" ht="12.3">
      <c r="E605" s="523"/>
      <c r="G605" s="524"/>
      <c r="H605" s="524"/>
      <c r="I605" s="524"/>
      <c r="J605" s="524"/>
      <c r="K605" s="568"/>
      <c r="M605" s="524"/>
    </row>
    <row r="606" spans="5:13" ht="12.3">
      <c r="E606" s="523"/>
      <c r="G606" s="524"/>
      <c r="H606" s="524"/>
      <c r="I606" s="524"/>
      <c r="J606" s="524"/>
      <c r="K606" s="568"/>
      <c r="M606" s="524"/>
    </row>
    <row r="607" spans="5:13" ht="12.3">
      <c r="E607" s="523"/>
      <c r="G607" s="524"/>
      <c r="H607" s="524"/>
      <c r="I607" s="524"/>
      <c r="J607" s="524"/>
      <c r="K607" s="568"/>
      <c r="M607" s="524"/>
    </row>
    <row r="608" spans="5:13" ht="12.3">
      <c r="E608" s="523"/>
      <c r="G608" s="524"/>
      <c r="H608" s="524"/>
      <c r="I608" s="524"/>
      <c r="J608" s="524"/>
      <c r="K608" s="568"/>
      <c r="M608" s="524"/>
    </row>
    <row r="609" spans="5:13" ht="12.3">
      <c r="E609" s="523"/>
      <c r="G609" s="524"/>
      <c r="H609" s="524"/>
      <c r="I609" s="524"/>
      <c r="J609" s="524"/>
      <c r="K609" s="568"/>
      <c r="M609" s="524"/>
    </row>
    <row r="610" spans="5:13" ht="12.3">
      <c r="E610" s="523"/>
      <c r="G610" s="524"/>
      <c r="H610" s="524"/>
      <c r="I610" s="524"/>
      <c r="J610" s="524"/>
      <c r="K610" s="568"/>
      <c r="M610" s="524"/>
    </row>
    <row r="611" spans="5:13" ht="12.3">
      <c r="E611" s="523"/>
      <c r="G611" s="524"/>
      <c r="H611" s="524"/>
      <c r="I611" s="524"/>
      <c r="J611" s="524"/>
      <c r="K611" s="568"/>
      <c r="M611" s="524"/>
    </row>
    <row r="612" spans="5:13" ht="12.3">
      <c r="E612" s="523"/>
      <c r="G612" s="524"/>
      <c r="H612" s="524"/>
      <c r="I612" s="524"/>
      <c r="J612" s="524"/>
      <c r="K612" s="568"/>
      <c r="M612" s="524"/>
    </row>
    <row r="613" spans="5:13" ht="12.3">
      <c r="E613" s="523"/>
      <c r="G613" s="524"/>
      <c r="H613" s="524"/>
      <c r="I613" s="524"/>
      <c r="J613" s="524"/>
      <c r="K613" s="568"/>
      <c r="M613" s="524"/>
    </row>
    <row r="614" spans="5:13" ht="12.3">
      <c r="E614" s="523"/>
      <c r="G614" s="524"/>
      <c r="H614" s="524"/>
      <c r="I614" s="524"/>
      <c r="J614" s="524"/>
      <c r="K614" s="568"/>
      <c r="M614" s="524"/>
    </row>
    <row r="615" spans="5:13" ht="12.3">
      <c r="E615" s="523"/>
      <c r="G615" s="524"/>
      <c r="H615" s="524"/>
      <c r="I615" s="524"/>
      <c r="J615" s="524"/>
      <c r="K615" s="568"/>
      <c r="M615" s="524"/>
    </row>
    <row r="616" spans="5:13" ht="12.3">
      <c r="E616" s="523"/>
      <c r="G616" s="524"/>
      <c r="H616" s="524"/>
      <c r="I616" s="524"/>
      <c r="J616" s="524"/>
      <c r="K616" s="568"/>
      <c r="M616" s="524"/>
    </row>
    <row r="617" spans="5:13" ht="12.3">
      <c r="E617" s="523"/>
      <c r="G617" s="524"/>
      <c r="H617" s="524"/>
      <c r="I617" s="524"/>
      <c r="J617" s="524"/>
      <c r="K617" s="568"/>
      <c r="M617" s="524"/>
    </row>
    <row r="618" spans="5:13" ht="12.3">
      <c r="E618" s="523"/>
      <c r="G618" s="524"/>
      <c r="H618" s="524"/>
      <c r="I618" s="524"/>
      <c r="J618" s="524"/>
      <c r="K618" s="568"/>
      <c r="M618" s="524"/>
    </row>
    <row r="619" spans="5:13" ht="12.3">
      <c r="E619" s="523"/>
      <c r="G619" s="524"/>
      <c r="H619" s="524"/>
      <c r="I619" s="524"/>
      <c r="J619" s="524"/>
      <c r="K619" s="568"/>
      <c r="M619" s="524"/>
    </row>
    <row r="620" spans="5:13" ht="12.3">
      <c r="E620" s="523"/>
      <c r="G620" s="524"/>
      <c r="H620" s="524"/>
      <c r="I620" s="524"/>
      <c r="J620" s="524"/>
      <c r="K620" s="568"/>
      <c r="M620" s="524"/>
    </row>
    <row r="621" spans="5:13" ht="12.3">
      <c r="E621" s="523"/>
      <c r="G621" s="524"/>
      <c r="H621" s="524"/>
      <c r="I621" s="524"/>
      <c r="J621" s="524"/>
      <c r="K621" s="568"/>
      <c r="M621" s="524"/>
    </row>
    <row r="622" spans="5:13" ht="12.3">
      <c r="E622" s="523"/>
      <c r="G622" s="524"/>
      <c r="H622" s="524"/>
      <c r="I622" s="524"/>
      <c r="J622" s="524"/>
      <c r="K622" s="568"/>
      <c r="M622" s="524"/>
    </row>
    <row r="623" spans="5:13" ht="12.3">
      <c r="E623" s="523"/>
      <c r="G623" s="524"/>
      <c r="H623" s="524"/>
      <c r="I623" s="524"/>
      <c r="J623" s="524"/>
      <c r="K623" s="568"/>
      <c r="M623" s="524"/>
    </row>
    <row r="624" spans="5:13" ht="12.3">
      <c r="E624" s="523"/>
      <c r="G624" s="524"/>
      <c r="H624" s="524"/>
      <c r="I624" s="524"/>
      <c r="J624" s="524"/>
      <c r="K624" s="568"/>
      <c r="M624" s="524"/>
    </row>
    <row r="625" spans="5:13" ht="12.3">
      <c r="E625" s="523"/>
      <c r="G625" s="524"/>
      <c r="H625" s="524"/>
      <c r="I625" s="524"/>
      <c r="J625" s="524"/>
      <c r="K625" s="568"/>
      <c r="M625" s="524"/>
    </row>
    <row r="626" spans="5:13" ht="12.3">
      <c r="E626" s="523"/>
      <c r="G626" s="524"/>
      <c r="H626" s="524"/>
      <c r="I626" s="524"/>
      <c r="J626" s="524"/>
      <c r="K626" s="568"/>
      <c r="M626" s="524"/>
    </row>
    <row r="627" spans="5:13" ht="12.3">
      <c r="E627" s="523"/>
      <c r="G627" s="524"/>
      <c r="H627" s="524"/>
      <c r="I627" s="524"/>
      <c r="J627" s="524"/>
      <c r="K627" s="568"/>
      <c r="M627" s="524"/>
    </row>
    <row r="628" spans="5:13" ht="12.3">
      <c r="E628" s="523"/>
      <c r="G628" s="524"/>
      <c r="H628" s="524"/>
      <c r="I628" s="524"/>
      <c r="J628" s="524"/>
      <c r="K628" s="568"/>
      <c r="M628" s="524"/>
    </row>
    <row r="629" spans="5:13" ht="12.3">
      <c r="E629" s="523"/>
      <c r="G629" s="524"/>
      <c r="H629" s="524"/>
      <c r="I629" s="524"/>
      <c r="J629" s="524"/>
      <c r="K629" s="568"/>
      <c r="M629" s="524"/>
    </row>
    <row r="630" spans="5:13" ht="12.3">
      <c r="E630" s="523"/>
      <c r="G630" s="524"/>
      <c r="H630" s="524"/>
      <c r="I630" s="524"/>
      <c r="J630" s="524"/>
      <c r="K630" s="568"/>
      <c r="M630" s="524"/>
    </row>
    <row r="631" spans="5:13" ht="12.3">
      <c r="E631" s="523"/>
      <c r="G631" s="524"/>
      <c r="H631" s="524"/>
      <c r="I631" s="524"/>
      <c r="J631" s="524"/>
      <c r="K631" s="568"/>
      <c r="M631" s="524"/>
    </row>
    <row r="632" spans="5:13" ht="12.3">
      <c r="E632" s="523"/>
      <c r="G632" s="524"/>
      <c r="H632" s="524"/>
      <c r="I632" s="524"/>
      <c r="J632" s="524"/>
      <c r="K632" s="568"/>
      <c r="M632" s="524"/>
    </row>
    <row r="633" spans="5:13" ht="12.3">
      <c r="E633" s="523"/>
      <c r="G633" s="524"/>
      <c r="H633" s="524"/>
      <c r="I633" s="524"/>
      <c r="J633" s="524"/>
      <c r="K633" s="568"/>
      <c r="M633" s="524"/>
    </row>
    <row r="634" spans="5:13" ht="12.3">
      <c r="E634" s="523"/>
      <c r="G634" s="524"/>
      <c r="H634" s="524"/>
      <c r="I634" s="524"/>
      <c r="J634" s="524"/>
      <c r="K634" s="568"/>
      <c r="M634" s="524"/>
    </row>
    <row r="635" spans="5:13" ht="12.3">
      <c r="E635" s="523"/>
      <c r="G635" s="524"/>
      <c r="H635" s="524"/>
      <c r="I635" s="524"/>
      <c r="J635" s="524"/>
      <c r="K635" s="568"/>
      <c r="M635" s="524"/>
    </row>
    <row r="636" spans="5:13" ht="12.3">
      <c r="E636" s="523"/>
      <c r="G636" s="524"/>
      <c r="H636" s="524"/>
      <c r="I636" s="524"/>
      <c r="J636" s="524"/>
      <c r="K636" s="568"/>
      <c r="M636" s="524"/>
    </row>
    <row r="637" spans="5:13" ht="12.3">
      <c r="E637" s="523"/>
      <c r="G637" s="524"/>
      <c r="H637" s="524"/>
      <c r="I637" s="524"/>
      <c r="J637" s="524"/>
      <c r="K637" s="568"/>
      <c r="M637" s="524"/>
    </row>
    <row r="638" spans="5:13" ht="12.3">
      <c r="E638" s="523"/>
      <c r="G638" s="524"/>
      <c r="H638" s="524"/>
      <c r="I638" s="524"/>
      <c r="J638" s="524"/>
      <c r="K638" s="568"/>
      <c r="M638" s="524"/>
    </row>
    <row r="639" spans="5:13" ht="12.3">
      <c r="E639" s="523"/>
      <c r="G639" s="524"/>
      <c r="H639" s="524"/>
      <c r="I639" s="524"/>
      <c r="J639" s="524"/>
      <c r="K639" s="568"/>
      <c r="M639" s="524"/>
    </row>
    <row r="640" spans="5:13" ht="12.3">
      <c r="E640" s="523"/>
      <c r="G640" s="524"/>
      <c r="H640" s="524"/>
      <c r="I640" s="524"/>
      <c r="J640" s="524"/>
      <c r="K640" s="568"/>
      <c r="M640" s="524"/>
    </row>
    <row r="641" spans="5:13" ht="12.3">
      <c r="E641" s="523"/>
      <c r="G641" s="524"/>
      <c r="H641" s="524"/>
      <c r="I641" s="524"/>
      <c r="J641" s="524"/>
      <c r="K641" s="568"/>
      <c r="M641" s="524"/>
    </row>
    <row r="642" spans="5:13" ht="12.3">
      <c r="E642" s="523"/>
      <c r="G642" s="524"/>
      <c r="H642" s="524"/>
      <c r="I642" s="524"/>
      <c r="J642" s="524"/>
      <c r="K642" s="568"/>
      <c r="M642" s="524"/>
    </row>
    <row r="643" spans="5:13" ht="12.3">
      <c r="E643" s="523"/>
      <c r="G643" s="524"/>
      <c r="H643" s="524"/>
      <c r="I643" s="524"/>
      <c r="J643" s="524"/>
      <c r="K643" s="568"/>
      <c r="M643" s="524"/>
    </row>
    <row r="644" spans="5:13" ht="12.3">
      <c r="E644" s="523"/>
      <c r="G644" s="524"/>
      <c r="H644" s="524"/>
      <c r="I644" s="524"/>
      <c r="J644" s="524"/>
      <c r="K644" s="568"/>
      <c r="M644" s="524"/>
    </row>
    <row r="645" spans="5:13" ht="12.3">
      <c r="E645" s="523"/>
      <c r="G645" s="524"/>
      <c r="H645" s="524"/>
      <c r="I645" s="524"/>
      <c r="J645" s="524"/>
      <c r="K645" s="568"/>
      <c r="M645" s="524"/>
    </row>
    <row r="646" spans="5:13" ht="12.3">
      <c r="E646" s="523"/>
      <c r="G646" s="524"/>
      <c r="H646" s="524"/>
      <c r="I646" s="524"/>
      <c r="J646" s="524"/>
      <c r="K646" s="568"/>
      <c r="M646" s="524"/>
    </row>
    <row r="647" spans="5:13" ht="12.3">
      <c r="E647" s="523"/>
      <c r="G647" s="524"/>
      <c r="H647" s="524"/>
      <c r="I647" s="524"/>
      <c r="J647" s="524"/>
      <c r="K647" s="568"/>
      <c r="M647" s="524"/>
    </row>
    <row r="648" spans="5:13" ht="12.3">
      <c r="E648" s="523"/>
      <c r="G648" s="524"/>
      <c r="H648" s="524"/>
      <c r="I648" s="524"/>
      <c r="J648" s="524"/>
      <c r="K648" s="568"/>
      <c r="M648" s="524"/>
    </row>
    <row r="649" spans="5:13" ht="12.3">
      <c r="E649" s="523"/>
      <c r="G649" s="524"/>
      <c r="H649" s="524"/>
      <c r="I649" s="524"/>
      <c r="J649" s="524"/>
      <c r="K649" s="568"/>
      <c r="M649" s="524"/>
    </row>
    <row r="650" spans="5:13" ht="12.3">
      <c r="E650" s="523"/>
      <c r="G650" s="524"/>
      <c r="H650" s="524"/>
      <c r="I650" s="524"/>
      <c r="J650" s="524"/>
      <c r="K650" s="568"/>
      <c r="M650" s="524"/>
    </row>
    <row r="651" spans="5:13" ht="12.3">
      <c r="E651" s="523"/>
      <c r="G651" s="524"/>
      <c r="H651" s="524"/>
      <c r="I651" s="524"/>
      <c r="J651" s="524"/>
      <c r="K651" s="568"/>
      <c r="M651" s="524"/>
    </row>
    <row r="652" spans="5:13" ht="12.3">
      <c r="E652" s="523"/>
      <c r="G652" s="524"/>
      <c r="H652" s="524"/>
      <c r="I652" s="524"/>
      <c r="J652" s="524"/>
      <c r="K652" s="568"/>
      <c r="M652" s="524"/>
    </row>
    <row r="653" spans="5:13" ht="12.3">
      <c r="E653" s="523"/>
      <c r="G653" s="524"/>
      <c r="H653" s="524"/>
      <c r="I653" s="524"/>
      <c r="J653" s="524"/>
      <c r="K653" s="568"/>
      <c r="M653" s="524"/>
    </row>
    <row r="654" spans="5:13" ht="12.3">
      <c r="E654" s="523"/>
      <c r="G654" s="524"/>
      <c r="H654" s="524"/>
      <c r="I654" s="524"/>
      <c r="J654" s="524"/>
      <c r="K654" s="568"/>
      <c r="M654" s="524"/>
    </row>
    <row r="655" spans="5:13" ht="12.3">
      <c r="E655" s="523"/>
      <c r="G655" s="524"/>
      <c r="H655" s="524"/>
      <c r="I655" s="524"/>
      <c r="J655" s="524"/>
      <c r="K655" s="568"/>
      <c r="M655" s="524"/>
    </row>
    <row r="656" spans="5:13" ht="12.3">
      <c r="E656" s="523"/>
      <c r="G656" s="524"/>
      <c r="H656" s="524"/>
      <c r="I656" s="524"/>
      <c r="J656" s="524"/>
      <c r="K656" s="568"/>
      <c r="M656" s="524"/>
    </row>
    <row r="657" spans="5:13" ht="12.3">
      <c r="E657" s="523"/>
      <c r="G657" s="524"/>
      <c r="H657" s="524"/>
      <c r="I657" s="524"/>
      <c r="J657" s="524"/>
      <c r="K657" s="568"/>
      <c r="M657" s="524"/>
    </row>
    <row r="658" spans="5:13" ht="12.3">
      <c r="E658" s="523"/>
      <c r="G658" s="524"/>
      <c r="H658" s="524"/>
      <c r="I658" s="524"/>
      <c r="J658" s="524"/>
      <c r="K658" s="568"/>
      <c r="M658" s="524"/>
    </row>
    <row r="659" spans="5:13" ht="12.3">
      <c r="E659" s="523"/>
      <c r="G659" s="524"/>
      <c r="H659" s="524"/>
      <c r="I659" s="524"/>
      <c r="J659" s="524"/>
      <c r="K659" s="568"/>
      <c r="M659" s="524"/>
    </row>
    <row r="660" spans="5:13" ht="12.3">
      <c r="E660" s="523"/>
      <c r="G660" s="524"/>
      <c r="H660" s="524"/>
      <c r="I660" s="524"/>
      <c r="J660" s="524"/>
      <c r="K660" s="568"/>
      <c r="M660" s="524"/>
    </row>
    <row r="661" spans="5:13" ht="12.3">
      <c r="E661" s="523"/>
      <c r="G661" s="524"/>
      <c r="H661" s="524"/>
      <c r="I661" s="524"/>
      <c r="J661" s="524"/>
      <c r="K661" s="568"/>
      <c r="M661" s="524"/>
    </row>
    <row r="662" spans="5:13" ht="12.3">
      <c r="E662" s="523"/>
      <c r="G662" s="524"/>
      <c r="H662" s="524"/>
      <c r="I662" s="524"/>
      <c r="J662" s="524"/>
      <c r="K662" s="568"/>
      <c r="M662" s="524"/>
    </row>
    <row r="663" spans="5:13" ht="12.3">
      <c r="E663" s="523"/>
      <c r="G663" s="524"/>
      <c r="H663" s="524"/>
      <c r="I663" s="524"/>
      <c r="J663" s="524"/>
      <c r="K663" s="568"/>
      <c r="M663" s="524"/>
    </row>
    <row r="664" spans="5:13" ht="12.3">
      <c r="E664" s="523"/>
      <c r="G664" s="524"/>
      <c r="H664" s="524"/>
      <c r="I664" s="524"/>
      <c r="J664" s="524"/>
      <c r="K664" s="568"/>
      <c r="M664" s="524"/>
    </row>
    <row r="665" spans="5:13" ht="12.3">
      <c r="E665" s="523"/>
      <c r="G665" s="524"/>
      <c r="H665" s="524"/>
      <c r="I665" s="524"/>
      <c r="J665" s="524"/>
      <c r="K665" s="568"/>
      <c r="M665" s="524"/>
    </row>
    <row r="666" spans="5:13" ht="12.3">
      <c r="E666" s="523"/>
      <c r="G666" s="524"/>
      <c r="H666" s="524"/>
      <c r="I666" s="524"/>
      <c r="J666" s="524"/>
      <c r="K666" s="568"/>
      <c r="M666" s="524"/>
    </row>
    <row r="667" spans="5:13" ht="12.3">
      <c r="E667" s="523"/>
      <c r="G667" s="524"/>
      <c r="H667" s="524"/>
      <c r="I667" s="524"/>
      <c r="J667" s="524"/>
      <c r="K667" s="568"/>
      <c r="M667" s="524"/>
    </row>
    <row r="668" spans="5:13" ht="12.3">
      <c r="E668" s="523"/>
      <c r="G668" s="524"/>
      <c r="H668" s="524"/>
      <c r="I668" s="524"/>
      <c r="J668" s="524"/>
      <c r="K668" s="568"/>
      <c r="M668" s="524"/>
    </row>
    <row r="669" spans="5:13" ht="12.3">
      <c r="E669" s="523"/>
      <c r="G669" s="524"/>
      <c r="H669" s="524"/>
      <c r="I669" s="524"/>
      <c r="J669" s="524"/>
      <c r="K669" s="568"/>
      <c r="M669" s="524"/>
    </row>
    <row r="670" spans="5:13" ht="12.3">
      <c r="E670" s="523"/>
      <c r="G670" s="524"/>
      <c r="H670" s="524"/>
      <c r="I670" s="524"/>
      <c r="J670" s="524"/>
      <c r="K670" s="568"/>
      <c r="M670" s="524"/>
    </row>
    <row r="671" spans="5:13" ht="12.3">
      <c r="E671" s="523"/>
      <c r="G671" s="524"/>
      <c r="H671" s="524"/>
      <c r="I671" s="524"/>
      <c r="J671" s="524"/>
      <c r="K671" s="568"/>
      <c r="M671" s="524"/>
    </row>
    <row r="672" spans="5:13" ht="12.3">
      <c r="E672" s="523"/>
      <c r="G672" s="524"/>
      <c r="H672" s="524"/>
      <c r="I672" s="524"/>
      <c r="J672" s="524"/>
      <c r="K672" s="568"/>
      <c r="M672" s="524"/>
    </row>
    <row r="673" spans="5:13" ht="12.3">
      <c r="E673" s="523"/>
      <c r="G673" s="524"/>
      <c r="H673" s="524"/>
      <c r="I673" s="524"/>
      <c r="J673" s="524"/>
      <c r="K673" s="568"/>
      <c r="M673" s="524"/>
    </row>
    <row r="674" spans="5:13" ht="12.3">
      <c r="E674" s="523"/>
      <c r="G674" s="524"/>
      <c r="H674" s="524"/>
      <c r="I674" s="524"/>
      <c r="J674" s="524"/>
      <c r="K674" s="568"/>
      <c r="M674" s="524"/>
    </row>
    <row r="675" spans="5:13" ht="12.3">
      <c r="E675" s="523"/>
      <c r="G675" s="524"/>
      <c r="H675" s="524"/>
      <c r="I675" s="524"/>
      <c r="J675" s="524"/>
      <c r="K675" s="568"/>
      <c r="M675" s="524"/>
    </row>
    <row r="676" spans="5:13" ht="12.3">
      <c r="E676" s="523"/>
      <c r="G676" s="524"/>
      <c r="H676" s="524"/>
      <c r="I676" s="524"/>
      <c r="J676" s="524"/>
      <c r="K676" s="568"/>
      <c r="M676" s="524"/>
    </row>
    <row r="677" spans="5:13" ht="12.3">
      <c r="E677" s="523"/>
      <c r="G677" s="524"/>
      <c r="H677" s="524"/>
      <c r="I677" s="524"/>
      <c r="J677" s="524"/>
      <c r="K677" s="568"/>
      <c r="M677" s="524"/>
    </row>
    <row r="678" spans="5:13" ht="12.3">
      <c r="E678" s="523"/>
      <c r="G678" s="524"/>
      <c r="H678" s="524"/>
      <c r="I678" s="524"/>
      <c r="J678" s="524"/>
      <c r="K678" s="568"/>
      <c r="M678" s="524"/>
    </row>
    <row r="679" spans="5:13" ht="12.3">
      <c r="E679" s="523"/>
      <c r="G679" s="524"/>
      <c r="H679" s="524"/>
      <c r="I679" s="524"/>
      <c r="J679" s="524"/>
      <c r="K679" s="568"/>
      <c r="M679" s="524"/>
    </row>
    <row r="680" spans="5:13" ht="12.3">
      <c r="E680" s="523"/>
      <c r="G680" s="524"/>
      <c r="H680" s="524"/>
      <c r="I680" s="524"/>
      <c r="J680" s="524"/>
      <c r="K680" s="568"/>
      <c r="M680" s="524"/>
    </row>
    <row r="681" spans="5:13" ht="12.3">
      <c r="E681" s="523"/>
      <c r="G681" s="524"/>
      <c r="H681" s="524"/>
      <c r="I681" s="524"/>
      <c r="J681" s="524"/>
      <c r="K681" s="568"/>
      <c r="M681" s="524"/>
    </row>
    <row r="682" spans="5:13" ht="12.3">
      <c r="E682" s="523"/>
      <c r="G682" s="524"/>
      <c r="H682" s="524"/>
      <c r="I682" s="524"/>
      <c r="J682" s="524"/>
      <c r="K682" s="568"/>
      <c r="M682" s="524"/>
    </row>
    <row r="683" spans="5:13" ht="12.3">
      <c r="E683" s="523"/>
      <c r="G683" s="524"/>
      <c r="H683" s="524"/>
      <c r="I683" s="524"/>
      <c r="J683" s="524"/>
      <c r="K683" s="568"/>
      <c r="M683" s="524"/>
    </row>
    <row r="684" spans="5:13" ht="12.3">
      <c r="E684" s="523"/>
      <c r="G684" s="524"/>
      <c r="H684" s="524"/>
      <c r="I684" s="524"/>
      <c r="J684" s="524"/>
      <c r="K684" s="568"/>
      <c r="M684" s="524"/>
    </row>
    <row r="685" spans="5:13" ht="12.3">
      <c r="E685" s="523"/>
      <c r="G685" s="524"/>
      <c r="H685" s="524"/>
      <c r="I685" s="524"/>
      <c r="J685" s="524"/>
      <c r="K685" s="568"/>
      <c r="M685" s="524"/>
    </row>
    <row r="686" spans="5:13" ht="12.3">
      <c r="E686" s="523"/>
      <c r="G686" s="524"/>
      <c r="H686" s="524"/>
      <c r="I686" s="524"/>
      <c r="J686" s="524"/>
      <c r="K686" s="568"/>
      <c r="M686" s="524"/>
    </row>
    <row r="687" spans="5:13" ht="12.3">
      <c r="E687" s="523"/>
      <c r="G687" s="524"/>
      <c r="H687" s="524"/>
      <c r="I687" s="524"/>
      <c r="J687" s="524"/>
      <c r="K687" s="568"/>
      <c r="M687" s="524"/>
    </row>
    <row r="688" spans="5:13" ht="12.3">
      <c r="E688" s="523"/>
      <c r="G688" s="524"/>
      <c r="H688" s="524"/>
      <c r="I688" s="524"/>
      <c r="J688" s="524"/>
      <c r="K688" s="568"/>
      <c r="M688" s="524"/>
    </row>
    <row r="689" spans="5:13" ht="12.3">
      <c r="E689" s="523"/>
      <c r="G689" s="524"/>
      <c r="H689" s="524"/>
      <c r="I689" s="524"/>
      <c r="J689" s="524"/>
      <c r="K689" s="568"/>
      <c r="M689" s="524"/>
    </row>
    <row r="690" spans="5:13" ht="12.3">
      <c r="E690" s="523"/>
      <c r="G690" s="524"/>
      <c r="H690" s="524"/>
      <c r="I690" s="524"/>
      <c r="J690" s="524"/>
      <c r="K690" s="568"/>
      <c r="M690" s="524"/>
    </row>
    <row r="691" spans="5:13" ht="12.3">
      <c r="E691" s="523"/>
      <c r="G691" s="524"/>
      <c r="H691" s="524"/>
      <c r="I691" s="524"/>
      <c r="J691" s="524"/>
      <c r="K691" s="568"/>
      <c r="M691" s="524"/>
    </row>
    <row r="692" spans="5:13" ht="12.3">
      <c r="E692" s="523"/>
      <c r="G692" s="524"/>
      <c r="H692" s="524"/>
      <c r="I692" s="524"/>
      <c r="J692" s="524"/>
      <c r="K692" s="568"/>
      <c r="M692" s="524"/>
    </row>
    <row r="693" spans="5:13" ht="12.3">
      <c r="E693" s="523"/>
      <c r="G693" s="524"/>
      <c r="H693" s="524"/>
      <c r="I693" s="524"/>
      <c r="J693" s="524"/>
      <c r="K693" s="568"/>
      <c r="M693" s="524"/>
    </row>
    <row r="694" spans="5:13" ht="12.3">
      <c r="E694" s="523"/>
      <c r="G694" s="524"/>
      <c r="H694" s="524"/>
      <c r="I694" s="524"/>
      <c r="J694" s="524"/>
      <c r="K694" s="568"/>
      <c r="M694" s="524"/>
    </row>
    <row r="695" spans="5:13" ht="12.3">
      <c r="E695" s="523"/>
      <c r="G695" s="524"/>
      <c r="H695" s="524"/>
      <c r="I695" s="524"/>
      <c r="J695" s="524"/>
      <c r="K695" s="568"/>
      <c r="M695" s="524"/>
    </row>
    <row r="696" spans="5:13" ht="12.3">
      <c r="E696" s="523"/>
      <c r="G696" s="524"/>
      <c r="H696" s="524"/>
      <c r="I696" s="524"/>
      <c r="J696" s="524"/>
      <c r="K696" s="568"/>
      <c r="M696" s="524"/>
    </row>
    <row r="697" spans="5:13" ht="12.3">
      <c r="E697" s="523"/>
      <c r="G697" s="524"/>
      <c r="H697" s="524"/>
      <c r="I697" s="524"/>
      <c r="J697" s="524"/>
      <c r="K697" s="568"/>
      <c r="M697" s="524"/>
    </row>
    <row r="698" spans="5:13" ht="12.3">
      <c r="E698" s="523"/>
      <c r="G698" s="524"/>
      <c r="H698" s="524"/>
      <c r="I698" s="524"/>
      <c r="J698" s="524"/>
      <c r="K698" s="568"/>
      <c r="M698" s="524"/>
    </row>
    <row r="699" spans="5:13" ht="12.3">
      <c r="E699" s="523"/>
      <c r="G699" s="524"/>
      <c r="H699" s="524"/>
      <c r="I699" s="524"/>
      <c r="J699" s="524"/>
      <c r="K699" s="568"/>
      <c r="M699" s="524"/>
    </row>
    <row r="700" spans="5:13" ht="12.3">
      <c r="E700" s="523"/>
      <c r="G700" s="524"/>
      <c r="H700" s="524"/>
      <c r="I700" s="524"/>
      <c r="J700" s="524"/>
      <c r="K700" s="568"/>
      <c r="M700" s="524"/>
    </row>
    <row r="701" spans="5:13" ht="12.3">
      <c r="E701" s="523"/>
      <c r="G701" s="524"/>
      <c r="H701" s="524"/>
      <c r="I701" s="524"/>
      <c r="J701" s="524"/>
      <c r="K701" s="568"/>
      <c r="M701" s="524"/>
    </row>
    <row r="702" spans="5:13" ht="12.3">
      <c r="E702" s="523"/>
      <c r="G702" s="524"/>
      <c r="H702" s="524"/>
      <c r="I702" s="524"/>
      <c r="J702" s="524"/>
      <c r="K702" s="568"/>
      <c r="M702" s="524"/>
    </row>
    <row r="703" spans="5:13" ht="12.3">
      <c r="E703" s="523"/>
      <c r="G703" s="524"/>
      <c r="H703" s="524"/>
      <c r="I703" s="524"/>
      <c r="J703" s="524"/>
      <c r="K703" s="568"/>
      <c r="M703" s="524"/>
    </row>
    <row r="704" spans="5:13" ht="12.3">
      <c r="E704" s="523"/>
      <c r="G704" s="524"/>
      <c r="H704" s="524"/>
      <c r="I704" s="524"/>
      <c r="J704" s="524"/>
      <c r="K704" s="568"/>
      <c r="M704" s="524"/>
    </row>
    <row r="705" spans="5:13" ht="12.3">
      <c r="E705" s="523"/>
      <c r="G705" s="524"/>
      <c r="H705" s="524"/>
      <c r="I705" s="524"/>
      <c r="J705" s="524"/>
      <c r="K705" s="568"/>
      <c r="M705" s="524"/>
    </row>
    <row r="706" spans="5:13" ht="12.3">
      <c r="E706" s="523"/>
      <c r="G706" s="524"/>
      <c r="H706" s="524"/>
      <c r="I706" s="524"/>
      <c r="J706" s="524"/>
      <c r="K706" s="568"/>
      <c r="M706" s="524"/>
    </row>
    <row r="707" spans="5:13" ht="12.3">
      <c r="E707" s="523"/>
      <c r="G707" s="524"/>
      <c r="H707" s="524"/>
      <c r="I707" s="524"/>
      <c r="J707" s="524"/>
      <c r="K707" s="568"/>
      <c r="M707" s="524"/>
    </row>
    <row r="708" spans="5:13" ht="12.3">
      <c r="E708" s="523"/>
      <c r="G708" s="524"/>
      <c r="H708" s="524"/>
      <c r="I708" s="524"/>
      <c r="J708" s="524"/>
      <c r="K708" s="568"/>
      <c r="M708" s="524"/>
    </row>
    <row r="709" spans="5:13" ht="12.3">
      <c r="E709" s="523"/>
      <c r="G709" s="524"/>
      <c r="H709" s="524"/>
      <c r="I709" s="524"/>
      <c r="J709" s="524"/>
      <c r="K709" s="568"/>
      <c r="M709" s="524"/>
    </row>
    <row r="710" spans="5:13" ht="12.3">
      <c r="E710" s="523"/>
      <c r="G710" s="524"/>
      <c r="H710" s="524"/>
      <c r="I710" s="524"/>
      <c r="J710" s="524"/>
      <c r="K710" s="568"/>
      <c r="M710" s="524"/>
    </row>
    <row r="711" spans="5:13" ht="12.3">
      <c r="E711" s="523"/>
      <c r="G711" s="524"/>
      <c r="H711" s="524"/>
      <c r="I711" s="524"/>
      <c r="J711" s="524"/>
      <c r="K711" s="568"/>
      <c r="M711" s="524"/>
    </row>
    <row r="712" spans="5:13" ht="12.3">
      <c r="E712" s="523"/>
      <c r="G712" s="524"/>
      <c r="H712" s="524"/>
      <c r="I712" s="524"/>
      <c r="J712" s="524"/>
      <c r="K712" s="568"/>
      <c r="M712" s="524"/>
    </row>
    <row r="713" spans="5:13" ht="12.3">
      <c r="E713" s="523"/>
      <c r="G713" s="524"/>
      <c r="H713" s="524"/>
      <c r="I713" s="524"/>
      <c r="J713" s="524"/>
      <c r="K713" s="568"/>
      <c r="M713" s="524"/>
    </row>
    <row r="714" spans="5:13" ht="12.3">
      <c r="E714" s="523"/>
      <c r="G714" s="524"/>
      <c r="H714" s="524"/>
      <c r="I714" s="524"/>
      <c r="J714" s="524"/>
      <c r="K714" s="568"/>
      <c r="M714" s="524"/>
    </row>
    <row r="715" spans="5:13" ht="12.3">
      <c r="E715" s="523"/>
      <c r="G715" s="524"/>
      <c r="H715" s="524"/>
      <c r="I715" s="524"/>
      <c r="J715" s="524"/>
      <c r="K715" s="568"/>
      <c r="M715" s="524"/>
    </row>
    <row r="716" spans="5:13" ht="12.3">
      <c r="E716" s="523"/>
      <c r="G716" s="524"/>
      <c r="H716" s="524"/>
      <c r="I716" s="524"/>
      <c r="J716" s="524"/>
      <c r="K716" s="568"/>
      <c r="M716" s="524"/>
    </row>
    <row r="717" spans="5:13" ht="12.3">
      <c r="E717" s="523"/>
      <c r="G717" s="524"/>
      <c r="H717" s="524"/>
      <c r="I717" s="524"/>
      <c r="J717" s="524"/>
      <c r="K717" s="568"/>
      <c r="M717" s="524"/>
    </row>
    <row r="718" spans="5:13" ht="12.3">
      <c r="E718" s="523"/>
      <c r="G718" s="524"/>
      <c r="H718" s="524"/>
      <c r="I718" s="524"/>
      <c r="J718" s="524"/>
      <c r="K718" s="568"/>
      <c r="M718" s="524"/>
    </row>
    <row r="719" spans="5:13" ht="12.3">
      <c r="E719" s="523"/>
      <c r="G719" s="524"/>
      <c r="H719" s="524"/>
      <c r="I719" s="524"/>
      <c r="J719" s="524"/>
      <c r="K719" s="568"/>
      <c r="M719" s="524"/>
    </row>
    <row r="720" spans="5:13" ht="12.3">
      <c r="E720" s="523"/>
      <c r="G720" s="524"/>
      <c r="H720" s="524"/>
      <c r="I720" s="524"/>
      <c r="J720" s="524"/>
      <c r="K720" s="568"/>
      <c r="M720" s="524"/>
    </row>
    <row r="721" spans="5:13" ht="12.3">
      <c r="E721" s="523"/>
      <c r="G721" s="524"/>
      <c r="H721" s="524"/>
      <c r="I721" s="524"/>
      <c r="J721" s="524"/>
      <c r="K721" s="568"/>
      <c r="M721" s="524"/>
    </row>
    <row r="722" spans="5:13" ht="12.3">
      <c r="E722" s="523"/>
      <c r="G722" s="524"/>
      <c r="H722" s="524"/>
      <c r="I722" s="524"/>
      <c r="J722" s="524"/>
      <c r="K722" s="568"/>
      <c r="M722" s="524"/>
    </row>
    <row r="723" spans="5:13" ht="12.3">
      <c r="E723" s="523"/>
      <c r="G723" s="524"/>
      <c r="H723" s="524"/>
      <c r="I723" s="524"/>
      <c r="J723" s="524"/>
      <c r="K723" s="568"/>
      <c r="M723" s="524"/>
    </row>
    <row r="724" spans="5:13" ht="12.3">
      <c r="E724" s="523"/>
      <c r="G724" s="524"/>
      <c r="H724" s="524"/>
      <c r="I724" s="524"/>
      <c r="J724" s="524"/>
      <c r="K724" s="568"/>
      <c r="M724" s="524"/>
    </row>
    <row r="725" spans="5:13" ht="12.3">
      <c r="E725" s="523"/>
      <c r="G725" s="524"/>
      <c r="H725" s="524"/>
      <c r="I725" s="524"/>
      <c r="J725" s="524"/>
      <c r="K725" s="568"/>
      <c r="M725" s="524"/>
    </row>
    <row r="726" spans="5:13" ht="12.3">
      <c r="E726" s="523"/>
      <c r="G726" s="524"/>
      <c r="H726" s="524"/>
      <c r="I726" s="524"/>
      <c r="J726" s="524"/>
      <c r="K726" s="568"/>
      <c r="M726" s="524"/>
    </row>
    <row r="727" spans="5:13" ht="12.3">
      <c r="E727" s="523"/>
      <c r="G727" s="524"/>
      <c r="H727" s="524"/>
      <c r="I727" s="524"/>
      <c r="J727" s="524"/>
      <c r="K727" s="568"/>
      <c r="M727" s="524"/>
    </row>
    <row r="728" spans="5:13" ht="12.3">
      <c r="E728" s="523"/>
      <c r="G728" s="524"/>
      <c r="H728" s="524"/>
      <c r="I728" s="524"/>
      <c r="J728" s="524"/>
      <c r="K728" s="568"/>
      <c r="M728" s="524"/>
    </row>
    <row r="729" spans="5:13" ht="12.3">
      <c r="E729" s="523"/>
      <c r="G729" s="524"/>
      <c r="H729" s="524"/>
      <c r="I729" s="524"/>
      <c r="J729" s="524"/>
      <c r="K729" s="568"/>
      <c r="M729" s="524"/>
    </row>
    <row r="730" spans="5:13" ht="12.3">
      <c r="E730" s="523"/>
      <c r="G730" s="524"/>
      <c r="H730" s="524"/>
      <c r="I730" s="524"/>
      <c r="J730" s="524"/>
      <c r="K730" s="568"/>
      <c r="M730" s="524"/>
    </row>
    <row r="731" spans="5:13" ht="12.3">
      <c r="E731" s="523"/>
      <c r="G731" s="524"/>
      <c r="H731" s="524"/>
      <c r="I731" s="524"/>
      <c r="J731" s="524"/>
      <c r="K731" s="568"/>
      <c r="M731" s="524"/>
    </row>
    <row r="732" spans="5:13" ht="12.3">
      <c r="E732" s="523"/>
      <c r="G732" s="524"/>
      <c r="H732" s="524"/>
      <c r="I732" s="524"/>
      <c r="J732" s="524"/>
      <c r="K732" s="568"/>
      <c r="M732" s="524"/>
    </row>
    <row r="733" spans="5:13" ht="12.3">
      <c r="E733" s="523"/>
      <c r="G733" s="524"/>
      <c r="H733" s="524"/>
      <c r="I733" s="524"/>
      <c r="J733" s="524"/>
      <c r="K733" s="568"/>
      <c r="M733" s="524"/>
    </row>
    <row r="734" spans="5:13" ht="12.3">
      <c r="E734" s="523"/>
      <c r="G734" s="524"/>
      <c r="H734" s="524"/>
      <c r="I734" s="524"/>
      <c r="J734" s="524"/>
      <c r="K734" s="568"/>
      <c r="M734" s="524"/>
    </row>
    <row r="735" spans="5:13" ht="12.3">
      <c r="E735" s="523"/>
      <c r="G735" s="524"/>
      <c r="H735" s="524"/>
      <c r="I735" s="524"/>
      <c r="J735" s="524"/>
      <c r="K735" s="568"/>
      <c r="M735" s="524"/>
    </row>
    <row r="736" spans="5:13" ht="12.3">
      <c r="E736" s="523"/>
      <c r="G736" s="524"/>
      <c r="H736" s="524"/>
      <c r="I736" s="524"/>
      <c r="J736" s="524"/>
      <c r="K736" s="568"/>
      <c r="M736" s="524"/>
    </row>
    <row r="737" spans="5:13" ht="12.3">
      <c r="E737" s="523"/>
      <c r="G737" s="524"/>
      <c r="H737" s="524"/>
      <c r="I737" s="524"/>
      <c r="J737" s="524"/>
      <c r="K737" s="568"/>
      <c r="M737" s="524"/>
    </row>
    <row r="738" spans="5:13" ht="12.3">
      <c r="E738" s="523"/>
      <c r="G738" s="524"/>
      <c r="H738" s="524"/>
      <c r="I738" s="524"/>
      <c r="J738" s="524"/>
      <c r="K738" s="568"/>
      <c r="M738" s="524"/>
    </row>
    <row r="739" spans="5:13" ht="12.3">
      <c r="E739" s="523"/>
      <c r="G739" s="524"/>
      <c r="H739" s="524"/>
      <c r="I739" s="524"/>
      <c r="J739" s="524"/>
      <c r="K739" s="568"/>
      <c r="M739" s="524"/>
    </row>
    <row r="740" spans="5:13" ht="12.3">
      <c r="E740" s="523"/>
      <c r="G740" s="524"/>
      <c r="H740" s="524"/>
      <c r="I740" s="524"/>
      <c r="J740" s="524"/>
      <c r="K740" s="568"/>
      <c r="M740" s="524"/>
    </row>
    <row r="741" spans="5:13" ht="12.3">
      <c r="E741" s="523"/>
      <c r="G741" s="524"/>
      <c r="H741" s="524"/>
      <c r="I741" s="524"/>
      <c r="J741" s="524"/>
      <c r="K741" s="568"/>
      <c r="M741" s="524"/>
    </row>
    <row r="742" spans="5:13" ht="12.3">
      <c r="E742" s="523"/>
      <c r="G742" s="524"/>
      <c r="H742" s="524"/>
      <c r="I742" s="524"/>
      <c r="J742" s="524"/>
      <c r="K742" s="568"/>
      <c r="M742" s="524"/>
    </row>
    <row r="743" spans="5:13" ht="12.3">
      <c r="E743" s="523"/>
      <c r="G743" s="524"/>
      <c r="H743" s="524"/>
      <c r="I743" s="524"/>
      <c r="J743" s="524"/>
      <c r="K743" s="568"/>
      <c r="M743" s="524"/>
    </row>
    <row r="744" spans="5:13" ht="12.3">
      <c r="E744" s="523"/>
      <c r="G744" s="524"/>
      <c r="H744" s="524"/>
      <c r="I744" s="524"/>
      <c r="J744" s="524"/>
      <c r="K744" s="568"/>
      <c r="M744" s="524"/>
    </row>
    <row r="745" spans="5:13" ht="12.3">
      <c r="E745" s="523"/>
      <c r="G745" s="524"/>
      <c r="H745" s="524"/>
      <c r="I745" s="524"/>
      <c r="J745" s="524"/>
      <c r="K745" s="568"/>
      <c r="M745" s="524"/>
    </row>
    <row r="746" spans="5:13" ht="12.3">
      <c r="E746" s="523"/>
      <c r="G746" s="524"/>
      <c r="H746" s="524"/>
      <c r="I746" s="524"/>
      <c r="J746" s="524"/>
      <c r="K746" s="568"/>
      <c r="M746" s="524"/>
    </row>
    <row r="747" spans="5:13" ht="12.3">
      <c r="E747" s="523"/>
      <c r="G747" s="524"/>
      <c r="H747" s="524"/>
      <c r="I747" s="524"/>
      <c r="J747" s="524"/>
      <c r="K747" s="568"/>
      <c r="M747" s="524"/>
    </row>
    <row r="748" spans="5:13" ht="12.3">
      <c r="E748" s="523"/>
      <c r="G748" s="524"/>
      <c r="H748" s="524"/>
      <c r="I748" s="524"/>
      <c r="J748" s="524"/>
      <c r="K748" s="568"/>
      <c r="M748" s="524"/>
    </row>
    <row r="749" spans="5:13" ht="12.3">
      <c r="E749" s="523"/>
      <c r="G749" s="524"/>
      <c r="H749" s="524"/>
      <c r="I749" s="524"/>
      <c r="J749" s="524"/>
      <c r="K749" s="568"/>
      <c r="M749" s="524"/>
    </row>
    <row r="750" spans="5:13" ht="12.3">
      <c r="E750" s="523"/>
      <c r="G750" s="524"/>
      <c r="H750" s="524"/>
      <c r="I750" s="524"/>
      <c r="J750" s="524"/>
      <c r="K750" s="568"/>
      <c r="M750" s="524"/>
    </row>
    <row r="751" spans="5:13" ht="12.3">
      <c r="E751" s="523"/>
      <c r="G751" s="524"/>
      <c r="H751" s="524"/>
      <c r="I751" s="524"/>
      <c r="J751" s="524"/>
      <c r="K751" s="568"/>
      <c r="M751" s="524"/>
    </row>
    <row r="752" spans="5:13" ht="12.3">
      <c r="E752" s="523"/>
      <c r="G752" s="524"/>
      <c r="H752" s="524"/>
      <c r="I752" s="524"/>
      <c r="J752" s="524"/>
      <c r="K752" s="568"/>
      <c r="M752" s="524"/>
    </row>
    <row r="753" spans="5:13" ht="12.3">
      <c r="E753" s="523"/>
      <c r="G753" s="524"/>
      <c r="H753" s="524"/>
      <c r="I753" s="524"/>
      <c r="J753" s="524"/>
      <c r="K753" s="568"/>
      <c r="M753" s="524"/>
    </row>
    <row r="754" spans="5:13" ht="12.3">
      <c r="E754" s="523"/>
      <c r="G754" s="524"/>
      <c r="H754" s="524"/>
      <c r="I754" s="524"/>
      <c r="J754" s="524"/>
      <c r="K754" s="568"/>
      <c r="M754" s="524"/>
    </row>
    <row r="755" spans="5:13" ht="12.3">
      <c r="E755" s="523"/>
      <c r="G755" s="524"/>
      <c r="H755" s="524"/>
      <c r="I755" s="524"/>
      <c r="J755" s="524"/>
      <c r="K755" s="568"/>
      <c r="M755" s="524"/>
    </row>
    <row r="756" spans="5:13" ht="12.3">
      <c r="E756" s="523"/>
      <c r="G756" s="524"/>
      <c r="H756" s="524"/>
      <c r="I756" s="524"/>
      <c r="J756" s="524"/>
      <c r="K756" s="568"/>
      <c r="M756" s="524"/>
    </row>
    <row r="757" spans="5:13" ht="12.3">
      <c r="E757" s="523"/>
      <c r="G757" s="524"/>
      <c r="H757" s="524"/>
      <c r="I757" s="524"/>
      <c r="J757" s="524"/>
      <c r="K757" s="568"/>
      <c r="M757" s="524"/>
    </row>
    <row r="758" spans="5:13" ht="12.3">
      <c r="E758" s="523"/>
      <c r="G758" s="524"/>
      <c r="H758" s="524"/>
      <c r="I758" s="524"/>
      <c r="J758" s="524"/>
      <c r="K758" s="568"/>
      <c r="M758" s="524"/>
    </row>
    <row r="759" spans="5:13" ht="12.3">
      <c r="E759" s="523"/>
      <c r="G759" s="524"/>
      <c r="H759" s="524"/>
      <c r="I759" s="524"/>
      <c r="J759" s="524"/>
      <c r="K759" s="568"/>
      <c r="M759" s="524"/>
    </row>
    <row r="760" spans="5:13" ht="12.3">
      <c r="E760" s="523"/>
      <c r="G760" s="524"/>
      <c r="H760" s="524"/>
      <c r="I760" s="524"/>
      <c r="J760" s="524"/>
      <c r="K760" s="568"/>
      <c r="M760" s="524"/>
    </row>
    <row r="761" spans="5:13" ht="12.3">
      <c r="E761" s="523"/>
      <c r="G761" s="524"/>
      <c r="H761" s="524"/>
      <c r="I761" s="524"/>
      <c r="J761" s="524"/>
      <c r="K761" s="568"/>
      <c r="M761" s="524"/>
    </row>
    <row r="762" spans="5:13" ht="12.3">
      <c r="E762" s="523"/>
      <c r="G762" s="524"/>
      <c r="H762" s="524"/>
      <c r="I762" s="524"/>
      <c r="J762" s="524"/>
      <c r="K762" s="568"/>
      <c r="M762" s="524"/>
    </row>
    <row r="763" spans="5:13" ht="12.3">
      <c r="E763" s="523"/>
      <c r="G763" s="524"/>
      <c r="H763" s="524"/>
      <c r="I763" s="524"/>
      <c r="J763" s="524"/>
      <c r="K763" s="568"/>
      <c r="M763" s="524"/>
    </row>
    <row r="764" spans="5:13" ht="12.3">
      <c r="E764" s="523"/>
      <c r="G764" s="524"/>
      <c r="H764" s="524"/>
      <c r="I764" s="524"/>
      <c r="J764" s="524"/>
      <c r="K764" s="568"/>
      <c r="M764" s="524"/>
    </row>
    <row r="765" spans="5:13" ht="12.3">
      <c r="E765" s="523"/>
      <c r="G765" s="524"/>
      <c r="H765" s="524"/>
      <c r="I765" s="524"/>
      <c r="J765" s="524"/>
      <c r="K765" s="568"/>
      <c r="M765" s="524"/>
    </row>
    <row r="766" spans="5:13" ht="12.3">
      <c r="E766" s="523"/>
      <c r="G766" s="524"/>
      <c r="H766" s="524"/>
      <c r="I766" s="524"/>
      <c r="J766" s="524"/>
      <c r="K766" s="568"/>
      <c r="M766" s="524"/>
    </row>
    <row r="767" spans="5:13" ht="12.3">
      <c r="E767" s="523"/>
      <c r="G767" s="524"/>
      <c r="H767" s="524"/>
      <c r="I767" s="524"/>
      <c r="J767" s="524"/>
      <c r="K767" s="568"/>
      <c r="M767" s="524"/>
    </row>
    <row r="768" spans="5:13" ht="12.3">
      <c r="E768" s="523"/>
      <c r="G768" s="524"/>
      <c r="H768" s="524"/>
      <c r="I768" s="524"/>
      <c r="J768" s="524"/>
      <c r="K768" s="568"/>
      <c r="M768" s="524"/>
    </row>
    <row r="769" spans="5:13" ht="12.3">
      <c r="E769" s="523"/>
      <c r="G769" s="524"/>
      <c r="H769" s="524"/>
      <c r="I769" s="524"/>
      <c r="J769" s="524"/>
      <c r="K769" s="568"/>
      <c r="M769" s="524"/>
    </row>
    <row r="770" spans="5:13" ht="12.3">
      <c r="E770" s="523"/>
      <c r="G770" s="524"/>
      <c r="H770" s="524"/>
      <c r="I770" s="524"/>
      <c r="J770" s="524"/>
      <c r="K770" s="568"/>
      <c r="M770" s="524"/>
    </row>
    <row r="771" spans="5:13" ht="12.3">
      <c r="E771" s="523"/>
      <c r="G771" s="524"/>
      <c r="H771" s="524"/>
      <c r="I771" s="524"/>
      <c r="J771" s="524"/>
      <c r="K771" s="568"/>
      <c r="M771" s="524"/>
    </row>
    <row r="772" spans="5:13" ht="12.3">
      <c r="E772" s="523"/>
      <c r="G772" s="524"/>
      <c r="H772" s="524"/>
      <c r="I772" s="524"/>
      <c r="J772" s="524"/>
      <c r="K772" s="568"/>
      <c r="M772" s="524"/>
    </row>
    <row r="773" spans="5:13" ht="12.3">
      <c r="E773" s="523"/>
      <c r="G773" s="524"/>
      <c r="H773" s="524"/>
      <c r="I773" s="524"/>
      <c r="J773" s="524"/>
      <c r="K773" s="568"/>
      <c r="M773" s="524"/>
    </row>
    <row r="774" spans="5:13" ht="12.3">
      <c r="E774" s="523"/>
      <c r="G774" s="524"/>
      <c r="H774" s="524"/>
      <c r="I774" s="524"/>
      <c r="J774" s="524"/>
      <c r="K774" s="568"/>
      <c r="M774" s="524"/>
    </row>
    <row r="775" spans="5:13" ht="12.3">
      <c r="E775" s="523"/>
      <c r="G775" s="524"/>
      <c r="H775" s="524"/>
      <c r="I775" s="524"/>
      <c r="J775" s="524"/>
      <c r="K775" s="568"/>
      <c r="M775" s="524"/>
    </row>
    <row r="776" spans="5:13" ht="12.3">
      <c r="E776" s="523"/>
      <c r="G776" s="524"/>
      <c r="H776" s="524"/>
      <c r="I776" s="524"/>
      <c r="J776" s="524"/>
      <c r="K776" s="568"/>
      <c r="M776" s="524"/>
    </row>
    <row r="777" spans="5:13" ht="12.3">
      <c r="E777" s="523"/>
      <c r="G777" s="524"/>
      <c r="H777" s="524"/>
      <c r="I777" s="524"/>
      <c r="J777" s="524"/>
      <c r="K777" s="568"/>
      <c r="M777" s="524"/>
    </row>
    <row r="778" spans="5:13" ht="12.3">
      <c r="E778" s="523"/>
      <c r="G778" s="524"/>
      <c r="H778" s="524"/>
      <c r="I778" s="524"/>
      <c r="J778" s="524"/>
      <c r="K778" s="568"/>
      <c r="M778" s="524"/>
    </row>
    <row r="779" spans="5:13" ht="12.3">
      <c r="E779" s="523"/>
      <c r="G779" s="524"/>
      <c r="H779" s="524"/>
      <c r="I779" s="524"/>
      <c r="J779" s="524"/>
      <c r="K779" s="568"/>
      <c r="M779" s="524"/>
    </row>
    <row r="780" spans="5:13" ht="12.3">
      <c r="E780" s="523"/>
      <c r="G780" s="524"/>
      <c r="H780" s="524"/>
      <c r="I780" s="524"/>
      <c r="J780" s="524"/>
      <c r="K780" s="568"/>
      <c r="M780" s="524"/>
    </row>
    <row r="781" spans="5:13" ht="12.3">
      <c r="E781" s="523"/>
      <c r="G781" s="524"/>
      <c r="H781" s="524"/>
      <c r="I781" s="524"/>
      <c r="J781" s="524"/>
      <c r="K781" s="568"/>
      <c r="M781" s="524"/>
    </row>
    <row r="782" spans="5:13" ht="12.3">
      <c r="E782" s="523"/>
      <c r="G782" s="524"/>
      <c r="H782" s="524"/>
      <c r="I782" s="524"/>
      <c r="J782" s="524"/>
      <c r="K782" s="568"/>
      <c r="M782" s="524"/>
    </row>
    <row r="783" spans="5:13" ht="12.3">
      <c r="E783" s="523"/>
      <c r="G783" s="524"/>
      <c r="H783" s="524"/>
      <c r="I783" s="524"/>
      <c r="J783" s="524"/>
      <c r="K783" s="568"/>
      <c r="M783" s="524"/>
    </row>
    <row r="784" spans="5:13" ht="12.3">
      <c r="E784" s="523"/>
      <c r="G784" s="524"/>
      <c r="H784" s="524"/>
      <c r="I784" s="524"/>
      <c r="J784" s="524"/>
      <c r="K784" s="568"/>
      <c r="M784" s="524"/>
    </row>
    <row r="785" spans="5:13" ht="12.3">
      <c r="E785" s="523"/>
      <c r="G785" s="524"/>
      <c r="H785" s="524"/>
      <c r="I785" s="524"/>
      <c r="J785" s="524"/>
      <c r="K785" s="568"/>
      <c r="M785" s="524"/>
    </row>
    <row r="786" spans="5:13" ht="12.3">
      <c r="E786" s="523"/>
      <c r="G786" s="524"/>
      <c r="H786" s="524"/>
      <c r="I786" s="524"/>
      <c r="J786" s="524"/>
      <c r="K786" s="568"/>
      <c r="M786" s="524"/>
    </row>
    <row r="787" spans="5:13" ht="12.3">
      <c r="E787" s="523"/>
      <c r="G787" s="524"/>
      <c r="H787" s="524"/>
      <c r="I787" s="524"/>
      <c r="J787" s="524"/>
      <c r="K787" s="568"/>
      <c r="M787" s="524"/>
    </row>
    <row r="788" spans="5:13" ht="12.3">
      <c r="E788" s="523"/>
      <c r="G788" s="524"/>
      <c r="H788" s="524"/>
      <c r="I788" s="524"/>
      <c r="J788" s="524"/>
      <c r="K788" s="568"/>
      <c r="M788" s="524"/>
    </row>
    <row r="789" spans="5:13" ht="12.3">
      <c r="E789" s="523"/>
      <c r="G789" s="524"/>
      <c r="H789" s="524"/>
      <c r="I789" s="524"/>
      <c r="J789" s="524"/>
      <c r="K789" s="568"/>
      <c r="M789" s="524"/>
    </row>
    <row r="790" spans="5:13" ht="12.3">
      <c r="E790" s="523"/>
      <c r="G790" s="524"/>
      <c r="H790" s="524"/>
      <c r="I790" s="524"/>
      <c r="J790" s="524"/>
      <c r="K790" s="568"/>
      <c r="M790" s="524"/>
    </row>
    <row r="791" spans="5:13" ht="12.3">
      <c r="E791" s="523"/>
      <c r="G791" s="524"/>
      <c r="H791" s="524"/>
      <c r="I791" s="524"/>
      <c r="J791" s="524"/>
      <c r="K791" s="568"/>
      <c r="M791" s="524"/>
    </row>
    <row r="792" spans="5:13" ht="12.3">
      <c r="E792" s="523"/>
      <c r="G792" s="524"/>
      <c r="H792" s="524"/>
      <c r="I792" s="524"/>
      <c r="J792" s="524"/>
      <c r="K792" s="568"/>
      <c r="M792" s="524"/>
    </row>
    <row r="793" spans="5:13" ht="12.3">
      <c r="E793" s="523"/>
      <c r="G793" s="524"/>
      <c r="H793" s="524"/>
      <c r="I793" s="524"/>
      <c r="J793" s="524"/>
      <c r="K793" s="568"/>
      <c r="M793" s="524"/>
    </row>
    <row r="794" spans="5:13" ht="12.3">
      <c r="E794" s="523"/>
      <c r="G794" s="524"/>
      <c r="H794" s="524"/>
      <c r="I794" s="524"/>
      <c r="J794" s="524"/>
      <c r="K794" s="568"/>
      <c r="M794" s="524"/>
    </row>
    <row r="795" spans="5:13" ht="12.3">
      <c r="E795" s="523"/>
      <c r="G795" s="524"/>
      <c r="H795" s="524"/>
      <c r="I795" s="524"/>
      <c r="J795" s="524"/>
      <c r="K795" s="568"/>
      <c r="M795" s="524"/>
    </row>
    <row r="796" spans="5:13" ht="12.3">
      <c r="E796" s="523"/>
      <c r="G796" s="524"/>
      <c r="H796" s="524"/>
      <c r="I796" s="524"/>
      <c r="J796" s="524"/>
      <c r="K796" s="568"/>
      <c r="M796" s="524"/>
    </row>
    <row r="797" spans="5:13" ht="12.3">
      <c r="E797" s="523"/>
      <c r="G797" s="524"/>
      <c r="H797" s="524"/>
      <c r="I797" s="524"/>
      <c r="J797" s="524"/>
      <c r="K797" s="568"/>
      <c r="M797" s="524"/>
    </row>
    <row r="798" spans="5:13" ht="12.3">
      <c r="E798" s="523"/>
      <c r="G798" s="524"/>
      <c r="H798" s="524"/>
      <c r="I798" s="524"/>
      <c r="J798" s="524"/>
      <c r="K798" s="568"/>
      <c r="M798" s="524"/>
    </row>
    <row r="799" spans="5:13" ht="12.3">
      <c r="E799" s="523"/>
      <c r="G799" s="524"/>
      <c r="H799" s="524"/>
      <c r="I799" s="524"/>
      <c r="J799" s="524"/>
      <c r="K799" s="568"/>
      <c r="M799" s="524"/>
    </row>
    <row r="800" spans="5:13" ht="12.3">
      <c r="E800" s="523"/>
      <c r="G800" s="524"/>
      <c r="H800" s="524"/>
      <c r="I800" s="524"/>
      <c r="J800" s="524"/>
      <c r="K800" s="568"/>
      <c r="M800" s="524"/>
    </row>
    <row r="801" spans="5:13" ht="12.3">
      <c r="E801" s="523"/>
      <c r="G801" s="524"/>
      <c r="H801" s="524"/>
      <c r="I801" s="524"/>
      <c r="J801" s="524"/>
      <c r="K801" s="568"/>
      <c r="M801" s="524"/>
    </row>
    <row r="802" spans="5:13" ht="12.3">
      <c r="E802" s="523"/>
      <c r="G802" s="524"/>
      <c r="H802" s="524"/>
      <c r="I802" s="524"/>
      <c r="J802" s="524"/>
      <c r="K802" s="568"/>
      <c r="M802" s="524"/>
    </row>
    <row r="803" spans="5:13" ht="12.3">
      <c r="E803" s="523"/>
      <c r="G803" s="524"/>
      <c r="H803" s="524"/>
      <c r="I803" s="524"/>
      <c r="J803" s="524"/>
      <c r="K803" s="568"/>
      <c r="M803" s="524"/>
    </row>
    <row r="804" spans="5:13" ht="12.3">
      <c r="E804" s="523"/>
      <c r="G804" s="524"/>
      <c r="H804" s="524"/>
      <c r="I804" s="524"/>
      <c r="J804" s="524"/>
      <c r="K804" s="568"/>
      <c r="M804" s="524"/>
    </row>
    <row r="805" spans="5:13" ht="12.3">
      <c r="E805" s="523"/>
      <c r="G805" s="524"/>
      <c r="H805" s="524"/>
      <c r="I805" s="524"/>
      <c r="J805" s="524"/>
      <c r="K805" s="568"/>
      <c r="M805" s="524"/>
    </row>
    <row r="806" spans="5:13" ht="12.3">
      <c r="E806" s="523"/>
      <c r="G806" s="524"/>
      <c r="H806" s="524"/>
      <c r="I806" s="524"/>
      <c r="J806" s="524"/>
      <c r="K806" s="568"/>
      <c r="M806" s="524"/>
    </row>
    <row r="807" spans="5:13" ht="12.3">
      <c r="E807" s="523"/>
      <c r="G807" s="524"/>
      <c r="H807" s="524"/>
      <c r="I807" s="524"/>
      <c r="J807" s="524"/>
      <c r="K807" s="568"/>
      <c r="M807" s="524"/>
    </row>
    <row r="808" spans="5:13" ht="12.3">
      <c r="E808" s="523"/>
      <c r="G808" s="524"/>
      <c r="H808" s="524"/>
      <c r="I808" s="524"/>
      <c r="J808" s="524"/>
      <c r="K808" s="568"/>
      <c r="M808" s="524"/>
    </row>
    <row r="809" spans="5:13" ht="12.3">
      <c r="E809" s="523"/>
      <c r="G809" s="524"/>
      <c r="H809" s="524"/>
      <c r="I809" s="524"/>
      <c r="J809" s="524"/>
      <c r="K809" s="568"/>
      <c r="M809" s="524"/>
    </row>
    <row r="810" spans="5:13" ht="12.3">
      <c r="E810" s="523"/>
      <c r="G810" s="524"/>
      <c r="H810" s="524"/>
      <c r="I810" s="524"/>
      <c r="J810" s="524"/>
      <c r="K810" s="568"/>
      <c r="M810" s="524"/>
    </row>
    <row r="811" spans="5:13" ht="12.3">
      <c r="E811" s="523"/>
      <c r="G811" s="524"/>
      <c r="H811" s="524"/>
      <c r="I811" s="524"/>
      <c r="J811" s="524"/>
      <c r="K811" s="568"/>
      <c r="M811" s="524"/>
    </row>
    <row r="812" spans="5:13" ht="12.3">
      <c r="E812" s="523"/>
      <c r="G812" s="524"/>
      <c r="H812" s="524"/>
      <c r="I812" s="524"/>
      <c r="J812" s="524"/>
      <c r="K812" s="568"/>
      <c r="M812" s="524"/>
    </row>
    <row r="813" spans="5:13" ht="12.3">
      <c r="E813" s="523"/>
      <c r="G813" s="524"/>
      <c r="H813" s="524"/>
      <c r="I813" s="524"/>
      <c r="J813" s="524"/>
      <c r="K813" s="568"/>
      <c r="M813" s="524"/>
    </row>
    <row r="814" spans="5:13" ht="12.3">
      <c r="E814" s="523"/>
      <c r="G814" s="524"/>
      <c r="H814" s="524"/>
      <c r="I814" s="524"/>
      <c r="J814" s="524"/>
      <c r="K814" s="568"/>
      <c r="M814" s="524"/>
    </row>
    <row r="815" spans="5:13" ht="12.3">
      <c r="E815" s="523"/>
      <c r="G815" s="524"/>
      <c r="H815" s="524"/>
      <c r="I815" s="524"/>
      <c r="J815" s="524"/>
      <c r="K815" s="568"/>
      <c r="M815" s="524"/>
    </row>
    <row r="816" spans="5:13" ht="12.3">
      <c r="E816" s="523"/>
      <c r="G816" s="524"/>
      <c r="H816" s="524"/>
      <c r="I816" s="524"/>
      <c r="J816" s="524"/>
      <c r="K816" s="568"/>
      <c r="M816" s="524"/>
    </row>
    <row r="817" spans="5:13" ht="12.3">
      <c r="E817" s="523"/>
      <c r="G817" s="524"/>
      <c r="H817" s="524"/>
      <c r="I817" s="524"/>
      <c r="J817" s="524"/>
      <c r="K817" s="568"/>
      <c r="M817" s="524"/>
    </row>
    <row r="818" spans="5:13" ht="12.3">
      <c r="E818" s="523"/>
      <c r="G818" s="524"/>
      <c r="H818" s="524"/>
      <c r="I818" s="524"/>
      <c r="J818" s="524"/>
      <c r="K818" s="568"/>
      <c r="M818" s="524"/>
    </row>
    <row r="819" spans="5:13" ht="12.3">
      <c r="E819" s="523"/>
      <c r="G819" s="524"/>
      <c r="H819" s="524"/>
      <c r="I819" s="524"/>
      <c r="J819" s="524"/>
      <c r="K819" s="568"/>
      <c r="M819" s="524"/>
    </row>
    <row r="820" spans="5:13" ht="12.3">
      <c r="E820" s="523"/>
      <c r="G820" s="524"/>
      <c r="H820" s="524"/>
      <c r="I820" s="524"/>
      <c r="J820" s="524"/>
      <c r="K820" s="568"/>
      <c r="M820" s="524"/>
    </row>
    <row r="821" spans="5:13" ht="12.3">
      <c r="E821" s="523"/>
      <c r="G821" s="524"/>
      <c r="H821" s="524"/>
      <c r="I821" s="524"/>
      <c r="J821" s="524"/>
      <c r="K821" s="568"/>
      <c r="M821" s="524"/>
    </row>
    <row r="822" spans="5:13" ht="12.3">
      <c r="E822" s="523"/>
      <c r="G822" s="524"/>
      <c r="H822" s="524"/>
      <c r="I822" s="524"/>
      <c r="J822" s="524"/>
      <c r="K822" s="568"/>
      <c r="M822" s="524"/>
    </row>
    <row r="823" spans="5:13" ht="12.3">
      <c r="E823" s="523"/>
      <c r="G823" s="524"/>
      <c r="H823" s="524"/>
      <c r="I823" s="524"/>
      <c r="J823" s="524"/>
      <c r="K823" s="568"/>
      <c r="M823" s="524"/>
    </row>
    <row r="824" spans="5:13" ht="12.3">
      <c r="E824" s="523"/>
      <c r="G824" s="524"/>
      <c r="H824" s="524"/>
      <c r="I824" s="524"/>
      <c r="J824" s="524"/>
      <c r="K824" s="568"/>
      <c r="M824" s="524"/>
    </row>
    <row r="825" spans="5:13" ht="12.3">
      <c r="E825" s="523"/>
      <c r="G825" s="524"/>
      <c r="H825" s="524"/>
      <c r="I825" s="524"/>
      <c r="J825" s="524"/>
      <c r="K825" s="568"/>
      <c r="M825" s="524"/>
    </row>
    <row r="826" spans="5:13" ht="12.3">
      <c r="E826" s="523"/>
      <c r="G826" s="524"/>
      <c r="H826" s="524"/>
      <c r="I826" s="524"/>
      <c r="J826" s="524"/>
      <c r="K826" s="568"/>
      <c r="M826" s="524"/>
    </row>
    <row r="827" spans="5:13" ht="12.3">
      <c r="E827" s="523"/>
      <c r="G827" s="524"/>
      <c r="H827" s="524"/>
      <c r="I827" s="524"/>
      <c r="J827" s="524"/>
      <c r="K827" s="568"/>
      <c r="M827" s="524"/>
    </row>
    <row r="828" spans="5:13" ht="12.3">
      <c r="E828" s="523"/>
      <c r="G828" s="524"/>
      <c r="H828" s="524"/>
      <c r="I828" s="524"/>
      <c r="J828" s="524"/>
      <c r="K828" s="568"/>
      <c r="M828" s="524"/>
    </row>
    <row r="829" spans="5:13" ht="12.3">
      <c r="E829" s="523"/>
      <c r="G829" s="524"/>
      <c r="H829" s="524"/>
      <c r="I829" s="524"/>
      <c r="J829" s="524"/>
      <c r="K829" s="568"/>
      <c r="M829" s="524"/>
    </row>
    <row r="830" spans="5:13" ht="12.3">
      <c r="E830" s="523"/>
      <c r="G830" s="524"/>
      <c r="H830" s="524"/>
      <c r="I830" s="524"/>
      <c r="J830" s="524"/>
      <c r="K830" s="568"/>
      <c r="M830" s="524"/>
    </row>
    <row r="831" spans="5:13" ht="12.3">
      <c r="E831" s="523"/>
      <c r="G831" s="524"/>
      <c r="H831" s="524"/>
      <c r="I831" s="524"/>
      <c r="J831" s="524"/>
      <c r="K831" s="568"/>
      <c r="M831" s="524"/>
    </row>
    <row r="832" spans="5:13" ht="12.3">
      <c r="E832" s="523"/>
      <c r="G832" s="524"/>
      <c r="H832" s="524"/>
      <c r="I832" s="524"/>
      <c r="J832" s="524"/>
      <c r="K832" s="568"/>
      <c r="M832" s="524"/>
    </row>
    <row r="833" spans="5:13" ht="12.3">
      <c r="E833" s="523"/>
      <c r="G833" s="524"/>
      <c r="H833" s="524"/>
      <c r="I833" s="524"/>
      <c r="J833" s="524"/>
      <c r="K833" s="568"/>
      <c r="M833" s="524"/>
    </row>
    <row r="834" spans="5:13" ht="12.3">
      <c r="E834" s="523"/>
      <c r="G834" s="524"/>
      <c r="H834" s="524"/>
      <c r="I834" s="524"/>
      <c r="J834" s="524"/>
      <c r="K834" s="568"/>
      <c r="M834" s="524"/>
    </row>
    <row r="835" spans="5:13" ht="12.3">
      <c r="E835" s="523"/>
      <c r="G835" s="524"/>
      <c r="H835" s="524"/>
      <c r="I835" s="524"/>
      <c r="J835" s="524"/>
      <c r="K835" s="568"/>
      <c r="M835" s="524"/>
    </row>
    <row r="836" spans="5:13" ht="12.3">
      <c r="E836" s="523"/>
      <c r="G836" s="524"/>
      <c r="H836" s="524"/>
      <c r="I836" s="524"/>
      <c r="J836" s="524"/>
      <c r="K836" s="568"/>
      <c r="M836" s="524"/>
    </row>
    <row r="837" spans="5:13" ht="12.3">
      <c r="E837" s="523"/>
      <c r="G837" s="524"/>
      <c r="H837" s="524"/>
      <c r="I837" s="524"/>
      <c r="J837" s="524"/>
      <c r="K837" s="568"/>
      <c r="M837" s="524"/>
    </row>
    <row r="838" spans="5:13" ht="12.3">
      <c r="E838" s="523"/>
      <c r="G838" s="524"/>
      <c r="H838" s="524"/>
      <c r="I838" s="524"/>
      <c r="J838" s="524"/>
      <c r="K838" s="568"/>
      <c r="M838" s="524"/>
    </row>
    <row r="839" spans="5:13" ht="12.3">
      <c r="E839" s="523"/>
      <c r="G839" s="524"/>
      <c r="H839" s="524"/>
      <c r="I839" s="524"/>
      <c r="J839" s="524"/>
      <c r="K839" s="568"/>
      <c r="M839" s="524"/>
    </row>
    <row r="840" spans="5:13" ht="12.3">
      <c r="E840" s="523"/>
      <c r="G840" s="524"/>
      <c r="H840" s="524"/>
      <c r="I840" s="524"/>
      <c r="J840" s="524"/>
      <c r="K840" s="568"/>
      <c r="M840" s="524"/>
    </row>
    <row r="841" spans="5:13" ht="12.3">
      <c r="E841" s="523"/>
      <c r="G841" s="524"/>
      <c r="H841" s="524"/>
      <c r="I841" s="524"/>
      <c r="J841" s="524"/>
      <c r="K841" s="568"/>
      <c r="M841" s="524"/>
    </row>
    <row r="842" spans="5:13" ht="12.3">
      <c r="E842" s="523"/>
      <c r="G842" s="524"/>
      <c r="H842" s="524"/>
      <c r="I842" s="524"/>
      <c r="J842" s="524"/>
      <c r="K842" s="568"/>
      <c r="M842" s="524"/>
    </row>
    <row r="843" spans="5:13" ht="12.3">
      <c r="E843" s="523"/>
      <c r="G843" s="524"/>
      <c r="H843" s="524"/>
      <c r="I843" s="524"/>
      <c r="J843" s="524"/>
      <c r="K843" s="568"/>
      <c r="M843" s="524"/>
    </row>
    <row r="844" spans="5:13" ht="12.3">
      <c r="E844" s="523"/>
      <c r="G844" s="524"/>
      <c r="H844" s="524"/>
      <c r="I844" s="524"/>
      <c r="J844" s="524"/>
      <c r="K844" s="568"/>
      <c r="M844" s="524"/>
    </row>
    <row r="845" spans="5:13" ht="12.3">
      <c r="E845" s="523"/>
      <c r="G845" s="524"/>
      <c r="H845" s="524"/>
      <c r="I845" s="524"/>
      <c r="J845" s="524"/>
      <c r="K845" s="568"/>
      <c r="M845" s="524"/>
    </row>
    <row r="846" spans="5:13" ht="12.3">
      <c r="E846" s="523"/>
      <c r="G846" s="524"/>
      <c r="H846" s="524"/>
      <c r="I846" s="524"/>
      <c r="J846" s="524"/>
      <c r="K846" s="568"/>
      <c r="M846" s="524"/>
    </row>
    <row r="847" spans="5:13" ht="12.3">
      <c r="E847" s="523"/>
      <c r="G847" s="524"/>
      <c r="H847" s="524"/>
      <c r="I847" s="524"/>
      <c r="J847" s="524"/>
      <c r="K847" s="568"/>
      <c r="M847" s="524"/>
    </row>
    <row r="848" spans="5:13" ht="12.3">
      <c r="E848" s="523"/>
      <c r="G848" s="524"/>
      <c r="H848" s="524"/>
      <c r="I848" s="524"/>
      <c r="J848" s="524"/>
      <c r="K848" s="568"/>
      <c r="M848" s="524"/>
    </row>
    <row r="849" spans="5:13" ht="12.3">
      <c r="E849" s="523"/>
      <c r="G849" s="524"/>
      <c r="H849" s="524"/>
      <c r="I849" s="524"/>
      <c r="J849" s="524"/>
      <c r="K849" s="568"/>
      <c r="M849" s="524"/>
    </row>
    <row r="850" spans="5:13" ht="12.3">
      <c r="E850" s="523"/>
      <c r="G850" s="524"/>
      <c r="H850" s="524"/>
      <c r="I850" s="524"/>
      <c r="J850" s="524"/>
      <c r="K850" s="568"/>
      <c r="M850" s="524"/>
    </row>
    <row r="851" spans="5:13" ht="12.3">
      <c r="E851" s="523"/>
      <c r="G851" s="524"/>
      <c r="H851" s="524"/>
      <c r="I851" s="524"/>
      <c r="J851" s="524"/>
      <c r="K851" s="568"/>
      <c r="M851" s="524"/>
    </row>
    <row r="852" spans="5:13" ht="12.3">
      <c r="E852" s="523"/>
      <c r="G852" s="524"/>
      <c r="H852" s="524"/>
      <c r="I852" s="524"/>
      <c r="J852" s="524"/>
      <c r="K852" s="568"/>
      <c r="M852" s="524"/>
    </row>
    <row r="853" spans="5:13" ht="12.3">
      <c r="E853" s="523"/>
      <c r="G853" s="524"/>
      <c r="H853" s="524"/>
      <c r="I853" s="524"/>
      <c r="J853" s="524"/>
      <c r="K853" s="568"/>
      <c r="M853" s="524"/>
    </row>
    <row r="854" spans="5:13" ht="12.3">
      <c r="E854" s="523"/>
      <c r="G854" s="524"/>
      <c r="H854" s="524"/>
      <c r="I854" s="524"/>
      <c r="J854" s="524"/>
      <c r="K854" s="568"/>
      <c r="M854" s="524"/>
    </row>
    <row r="855" spans="5:13" ht="12.3">
      <c r="E855" s="523"/>
      <c r="G855" s="524"/>
      <c r="H855" s="524"/>
      <c r="I855" s="524"/>
      <c r="J855" s="524"/>
      <c r="K855" s="568"/>
      <c r="M855" s="524"/>
    </row>
    <row r="856" spans="5:13" ht="12.3">
      <c r="E856" s="523"/>
      <c r="G856" s="524"/>
      <c r="H856" s="524"/>
      <c r="I856" s="524"/>
      <c r="J856" s="524"/>
      <c r="K856" s="568"/>
      <c r="M856" s="524"/>
    </row>
    <row r="857" spans="5:13" ht="12.3">
      <c r="E857" s="523"/>
      <c r="G857" s="524"/>
      <c r="H857" s="524"/>
      <c r="I857" s="524"/>
      <c r="J857" s="524"/>
      <c r="K857" s="568"/>
      <c r="M857" s="524"/>
    </row>
    <row r="858" spans="5:13" ht="12.3">
      <c r="E858" s="523"/>
      <c r="G858" s="524"/>
      <c r="H858" s="524"/>
      <c r="I858" s="524"/>
      <c r="J858" s="524"/>
      <c r="K858" s="568"/>
      <c r="M858" s="524"/>
    </row>
    <row r="859" spans="5:13" ht="12.3">
      <c r="E859" s="523"/>
      <c r="G859" s="524"/>
      <c r="H859" s="524"/>
      <c r="I859" s="524"/>
      <c r="J859" s="524"/>
      <c r="K859" s="568"/>
      <c r="M859" s="524"/>
    </row>
    <row r="860" spans="5:13" ht="12.3">
      <c r="E860" s="523"/>
      <c r="G860" s="524"/>
      <c r="H860" s="524"/>
      <c r="I860" s="524"/>
      <c r="J860" s="524"/>
      <c r="K860" s="568"/>
      <c r="M860" s="524"/>
    </row>
    <row r="861" spans="5:13" ht="12.3">
      <c r="E861" s="523"/>
      <c r="G861" s="524"/>
      <c r="H861" s="524"/>
      <c r="I861" s="524"/>
      <c r="J861" s="524"/>
      <c r="K861" s="568"/>
      <c r="M861" s="524"/>
    </row>
    <row r="862" spans="5:13" ht="12.3">
      <c r="E862" s="523"/>
      <c r="G862" s="524"/>
      <c r="H862" s="524"/>
      <c r="I862" s="524"/>
      <c r="J862" s="524"/>
      <c r="K862" s="568"/>
      <c r="M862" s="524"/>
    </row>
    <row r="863" spans="5:13" ht="12.3">
      <c r="E863" s="523"/>
      <c r="G863" s="524"/>
      <c r="H863" s="524"/>
      <c r="I863" s="524"/>
      <c r="J863" s="524"/>
      <c r="K863" s="568"/>
      <c r="M863" s="524"/>
    </row>
    <row r="864" spans="5:13" ht="12.3">
      <c r="E864" s="523"/>
      <c r="G864" s="524"/>
      <c r="H864" s="524"/>
      <c r="I864" s="524"/>
      <c r="J864" s="524"/>
      <c r="K864" s="568"/>
      <c r="M864" s="524"/>
    </row>
    <row r="865" spans="5:13" ht="12.3">
      <c r="E865" s="523"/>
      <c r="G865" s="524"/>
      <c r="H865" s="524"/>
      <c r="I865" s="524"/>
      <c r="J865" s="524"/>
      <c r="K865" s="568"/>
      <c r="M865" s="524"/>
    </row>
    <row r="866" spans="5:13" ht="12.3">
      <c r="E866" s="523"/>
      <c r="G866" s="524"/>
      <c r="H866" s="524"/>
      <c r="I866" s="524"/>
      <c r="J866" s="524"/>
      <c r="K866" s="568"/>
      <c r="M866" s="524"/>
    </row>
    <row r="867" spans="5:13" ht="12.3">
      <c r="E867" s="523"/>
      <c r="G867" s="524"/>
      <c r="H867" s="524"/>
      <c r="I867" s="524"/>
      <c r="J867" s="524"/>
      <c r="K867" s="568"/>
      <c r="M867" s="524"/>
    </row>
    <row r="868" spans="5:13" ht="12.3">
      <c r="E868" s="523"/>
      <c r="G868" s="524"/>
      <c r="H868" s="524"/>
      <c r="I868" s="524"/>
      <c r="J868" s="524"/>
      <c r="K868" s="568"/>
      <c r="M868" s="524"/>
    </row>
    <row r="869" spans="5:13" ht="12.3">
      <c r="E869" s="523"/>
      <c r="G869" s="524"/>
      <c r="H869" s="524"/>
      <c r="I869" s="524"/>
      <c r="J869" s="524"/>
      <c r="K869" s="568"/>
      <c r="M869" s="524"/>
    </row>
    <row r="870" spans="5:13" ht="12.3">
      <c r="E870" s="523"/>
      <c r="G870" s="524"/>
      <c r="H870" s="524"/>
      <c r="I870" s="524"/>
      <c r="J870" s="524"/>
      <c r="K870" s="568"/>
      <c r="M870" s="524"/>
    </row>
    <row r="871" spans="5:13" ht="12.3">
      <c r="E871" s="523"/>
      <c r="G871" s="524"/>
      <c r="H871" s="524"/>
      <c r="I871" s="524"/>
      <c r="J871" s="524"/>
      <c r="K871" s="568"/>
      <c r="M871" s="524"/>
    </row>
    <row r="872" spans="5:13" ht="12.3">
      <c r="E872" s="523"/>
      <c r="G872" s="524"/>
      <c r="H872" s="524"/>
      <c r="I872" s="524"/>
      <c r="J872" s="524"/>
      <c r="K872" s="568"/>
      <c r="M872" s="524"/>
    </row>
    <row r="873" spans="5:13" ht="12.3">
      <c r="E873" s="523"/>
      <c r="G873" s="524"/>
      <c r="H873" s="524"/>
      <c r="I873" s="524"/>
      <c r="J873" s="524"/>
      <c r="K873" s="568"/>
      <c r="M873" s="524"/>
    </row>
    <row r="874" spans="5:13" ht="12.3">
      <c r="E874" s="523"/>
      <c r="G874" s="524"/>
      <c r="H874" s="524"/>
      <c r="I874" s="524"/>
      <c r="J874" s="524"/>
      <c r="K874" s="568"/>
      <c r="M874" s="524"/>
    </row>
    <row r="875" spans="5:13" ht="12.3">
      <c r="E875" s="523"/>
      <c r="G875" s="524"/>
      <c r="H875" s="524"/>
      <c r="I875" s="524"/>
      <c r="J875" s="524"/>
      <c r="K875" s="568"/>
      <c r="M875" s="524"/>
    </row>
    <row r="876" spans="5:13" ht="12.3">
      <c r="E876" s="523"/>
      <c r="G876" s="524"/>
      <c r="H876" s="524"/>
      <c r="I876" s="524"/>
      <c r="J876" s="524"/>
      <c r="K876" s="568"/>
      <c r="M876" s="524"/>
    </row>
    <row r="877" spans="5:13" ht="12.3">
      <c r="E877" s="523"/>
      <c r="G877" s="524"/>
      <c r="H877" s="524"/>
      <c r="I877" s="524"/>
      <c r="J877" s="524"/>
      <c r="K877" s="568"/>
      <c r="M877" s="524"/>
    </row>
    <row r="878" spans="5:13" ht="12.3">
      <c r="E878" s="523"/>
      <c r="G878" s="524"/>
      <c r="H878" s="524"/>
      <c r="I878" s="524"/>
      <c r="J878" s="524"/>
      <c r="K878" s="568"/>
      <c r="M878" s="524"/>
    </row>
    <row r="879" spans="5:13" ht="12.3">
      <c r="E879" s="523"/>
      <c r="G879" s="524"/>
      <c r="H879" s="524"/>
      <c r="I879" s="524"/>
      <c r="J879" s="524"/>
      <c r="K879" s="568"/>
      <c r="M879" s="524"/>
    </row>
    <row r="880" spans="5:13" ht="12.3">
      <c r="E880" s="523"/>
      <c r="G880" s="524"/>
      <c r="H880" s="524"/>
      <c r="I880" s="524"/>
      <c r="J880" s="524"/>
      <c r="K880" s="568"/>
      <c r="M880" s="524"/>
    </row>
    <row r="881" spans="5:13" ht="12.3">
      <c r="E881" s="523"/>
      <c r="G881" s="524"/>
      <c r="H881" s="524"/>
      <c r="I881" s="524"/>
      <c r="J881" s="524"/>
      <c r="K881" s="568"/>
      <c r="M881" s="524"/>
    </row>
    <row r="882" spans="5:13" ht="12.3">
      <c r="E882" s="523"/>
      <c r="G882" s="524"/>
      <c r="H882" s="524"/>
      <c r="I882" s="524"/>
      <c r="J882" s="524"/>
      <c r="K882" s="568"/>
      <c r="M882" s="524"/>
    </row>
    <row r="883" spans="5:13" ht="12.3">
      <c r="E883" s="523"/>
      <c r="G883" s="524"/>
      <c r="H883" s="524"/>
      <c r="I883" s="524"/>
      <c r="J883" s="524"/>
      <c r="K883" s="568"/>
      <c r="M883" s="524"/>
    </row>
    <row r="884" spans="5:13" ht="12.3">
      <c r="E884" s="523"/>
      <c r="G884" s="524"/>
      <c r="H884" s="524"/>
      <c r="I884" s="524"/>
      <c r="J884" s="524"/>
      <c r="K884" s="568"/>
      <c r="M884" s="524"/>
    </row>
    <row r="885" spans="5:13" ht="12.3">
      <c r="E885" s="523"/>
      <c r="G885" s="524"/>
      <c r="H885" s="524"/>
      <c r="I885" s="524"/>
      <c r="J885" s="524"/>
      <c r="K885" s="568"/>
      <c r="M885" s="524"/>
    </row>
    <row r="886" spans="5:13" ht="12.3">
      <c r="E886" s="523"/>
      <c r="G886" s="524"/>
      <c r="H886" s="524"/>
      <c r="I886" s="524"/>
      <c r="J886" s="524"/>
      <c r="K886" s="568"/>
      <c r="M886" s="524"/>
    </row>
    <row r="887" spans="5:13" ht="12.3">
      <c r="E887" s="523"/>
      <c r="G887" s="524"/>
      <c r="H887" s="524"/>
      <c r="I887" s="524"/>
      <c r="J887" s="524"/>
      <c r="K887" s="568"/>
      <c r="M887" s="524"/>
    </row>
    <row r="888" spans="5:13" ht="12.3">
      <c r="E888" s="523"/>
      <c r="G888" s="524"/>
      <c r="H888" s="524"/>
      <c r="I888" s="524"/>
      <c r="J888" s="524"/>
      <c r="K888" s="568"/>
      <c r="M888" s="524"/>
    </row>
    <row r="889" spans="5:13" ht="12.3">
      <c r="E889" s="523"/>
      <c r="G889" s="524"/>
      <c r="H889" s="524"/>
      <c r="I889" s="524"/>
      <c r="J889" s="524"/>
      <c r="K889" s="568"/>
      <c r="M889" s="524"/>
    </row>
    <row r="890" spans="5:13" ht="12.3">
      <c r="E890" s="523"/>
      <c r="G890" s="524"/>
      <c r="H890" s="524"/>
      <c r="I890" s="524"/>
      <c r="J890" s="524"/>
      <c r="K890" s="568"/>
      <c r="M890" s="524"/>
    </row>
    <row r="891" spans="5:13" ht="12.3">
      <c r="E891" s="523"/>
      <c r="G891" s="524"/>
      <c r="H891" s="524"/>
      <c r="I891" s="524"/>
      <c r="J891" s="524"/>
      <c r="K891" s="568"/>
      <c r="M891" s="524"/>
    </row>
    <row r="892" spans="5:13" ht="12.3">
      <c r="E892" s="523"/>
      <c r="G892" s="524"/>
      <c r="H892" s="524"/>
      <c r="I892" s="524"/>
      <c r="J892" s="524"/>
      <c r="K892" s="568"/>
      <c r="M892" s="524"/>
    </row>
    <row r="893" spans="5:13" ht="12.3">
      <c r="E893" s="523"/>
      <c r="G893" s="524"/>
      <c r="H893" s="524"/>
      <c r="I893" s="524"/>
      <c r="J893" s="524"/>
      <c r="K893" s="568"/>
      <c r="M893" s="524"/>
    </row>
    <row r="894" spans="5:13" ht="12.3">
      <c r="E894" s="523"/>
      <c r="G894" s="524"/>
      <c r="H894" s="524"/>
      <c r="I894" s="524"/>
      <c r="J894" s="524"/>
      <c r="K894" s="568"/>
      <c r="M894" s="524"/>
    </row>
    <row r="895" spans="5:13" ht="12.3">
      <c r="E895" s="523"/>
      <c r="G895" s="524"/>
      <c r="H895" s="524"/>
      <c r="I895" s="524"/>
      <c r="J895" s="524"/>
      <c r="K895" s="568"/>
      <c r="M895" s="524"/>
    </row>
    <row r="896" spans="5:13" ht="12.3">
      <c r="E896" s="523"/>
      <c r="G896" s="524"/>
      <c r="H896" s="524"/>
      <c r="I896" s="524"/>
      <c r="J896" s="524"/>
      <c r="K896" s="568"/>
      <c r="M896" s="524"/>
    </row>
    <row r="897" spans="5:13" ht="12.3">
      <c r="E897" s="523"/>
      <c r="G897" s="524"/>
      <c r="H897" s="524"/>
      <c r="I897" s="524"/>
      <c r="J897" s="524"/>
      <c r="K897" s="568"/>
      <c r="M897" s="524"/>
    </row>
    <row r="898" spans="5:13" ht="12.3">
      <c r="E898" s="523"/>
      <c r="G898" s="524"/>
      <c r="H898" s="524"/>
      <c r="I898" s="524"/>
      <c r="J898" s="524"/>
      <c r="K898" s="568"/>
      <c r="M898" s="524"/>
    </row>
    <row r="899" spans="5:13" ht="12.3">
      <c r="E899" s="523"/>
      <c r="G899" s="524"/>
      <c r="H899" s="524"/>
      <c r="I899" s="524"/>
      <c r="J899" s="524"/>
      <c r="K899" s="568"/>
      <c r="M899" s="524"/>
    </row>
    <row r="900" spans="5:13" ht="12.3">
      <c r="E900" s="523"/>
      <c r="G900" s="524"/>
      <c r="H900" s="524"/>
      <c r="I900" s="524"/>
      <c r="J900" s="524"/>
      <c r="K900" s="568"/>
      <c r="M900" s="524"/>
    </row>
    <row r="901" spans="5:13" ht="12.3">
      <c r="E901" s="523"/>
      <c r="G901" s="524"/>
      <c r="H901" s="524"/>
      <c r="I901" s="524"/>
      <c r="J901" s="524"/>
      <c r="K901" s="568"/>
      <c r="M901" s="524"/>
    </row>
    <row r="902" spans="5:13" ht="12.3">
      <c r="E902" s="523"/>
      <c r="G902" s="524"/>
      <c r="H902" s="524"/>
      <c r="I902" s="524"/>
      <c r="J902" s="524"/>
      <c r="K902" s="568"/>
      <c r="M902" s="524"/>
    </row>
    <row r="903" spans="5:13" ht="12.3">
      <c r="E903" s="523"/>
      <c r="G903" s="524"/>
      <c r="H903" s="524"/>
      <c r="I903" s="524"/>
      <c r="J903" s="524"/>
      <c r="K903" s="568"/>
      <c r="M903" s="524"/>
    </row>
    <row r="904" spans="5:13" ht="12.3">
      <c r="E904" s="523"/>
      <c r="G904" s="524"/>
      <c r="H904" s="524"/>
      <c r="I904" s="524"/>
      <c r="J904" s="524"/>
      <c r="K904" s="568"/>
      <c r="M904" s="524"/>
    </row>
    <row r="905" spans="5:13" ht="12.3">
      <c r="E905" s="523"/>
      <c r="G905" s="524"/>
      <c r="H905" s="524"/>
      <c r="I905" s="524"/>
      <c r="J905" s="524"/>
      <c r="K905" s="568"/>
      <c r="M905" s="524"/>
    </row>
    <row r="906" spans="5:13" ht="12.3">
      <c r="E906" s="523"/>
      <c r="G906" s="524"/>
      <c r="H906" s="524"/>
      <c r="I906" s="524"/>
      <c r="J906" s="524"/>
      <c r="K906" s="568"/>
      <c r="M906" s="524"/>
    </row>
    <row r="907" spans="5:13" ht="12.3">
      <c r="E907" s="523"/>
      <c r="G907" s="524"/>
      <c r="H907" s="524"/>
      <c r="I907" s="524"/>
      <c r="J907" s="524"/>
      <c r="K907" s="568"/>
      <c r="M907" s="524"/>
    </row>
    <row r="908" spans="5:13" ht="12.3">
      <c r="E908" s="523"/>
      <c r="G908" s="524"/>
      <c r="H908" s="524"/>
      <c r="I908" s="524"/>
      <c r="J908" s="524"/>
      <c r="K908" s="568"/>
      <c r="M908" s="524"/>
    </row>
    <row r="909" spans="5:13" ht="12.3">
      <c r="E909" s="523"/>
      <c r="G909" s="524"/>
      <c r="H909" s="524"/>
      <c r="I909" s="524"/>
      <c r="J909" s="524"/>
      <c r="K909" s="568"/>
      <c r="M909" s="524"/>
    </row>
    <row r="910" spans="5:13" ht="12.3">
      <c r="E910" s="523"/>
      <c r="G910" s="524"/>
      <c r="H910" s="524"/>
      <c r="I910" s="524"/>
      <c r="J910" s="524"/>
      <c r="K910" s="568"/>
      <c r="M910" s="524"/>
    </row>
    <row r="911" spans="5:13" ht="12.3">
      <c r="E911" s="523"/>
      <c r="G911" s="524"/>
      <c r="H911" s="524"/>
      <c r="I911" s="524"/>
      <c r="J911" s="524"/>
      <c r="K911" s="568"/>
      <c r="M911" s="524"/>
    </row>
    <row r="912" spans="5:13" ht="12.3">
      <c r="E912" s="523"/>
      <c r="G912" s="524"/>
      <c r="H912" s="524"/>
      <c r="I912" s="524"/>
      <c r="J912" s="524"/>
      <c r="K912" s="568"/>
      <c r="M912" s="524"/>
    </row>
    <row r="913" spans="5:13" ht="12.3">
      <c r="E913" s="523"/>
      <c r="G913" s="524"/>
      <c r="H913" s="524"/>
      <c r="I913" s="524"/>
      <c r="J913" s="524"/>
      <c r="K913" s="568"/>
      <c r="M913" s="524"/>
    </row>
    <row r="914" spans="5:13" ht="12.3">
      <c r="E914" s="523"/>
      <c r="G914" s="524"/>
      <c r="H914" s="524"/>
      <c r="I914" s="524"/>
      <c r="J914" s="524"/>
      <c r="K914" s="568"/>
      <c r="M914" s="524"/>
    </row>
    <row r="915" spans="5:13" ht="12.3">
      <c r="E915" s="523"/>
      <c r="G915" s="524"/>
      <c r="H915" s="524"/>
      <c r="I915" s="524"/>
      <c r="J915" s="524"/>
      <c r="K915" s="568"/>
      <c r="M915" s="524"/>
    </row>
    <row r="916" spans="5:13" ht="12.3">
      <c r="E916" s="523"/>
      <c r="G916" s="524"/>
      <c r="H916" s="524"/>
      <c r="I916" s="524"/>
      <c r="J916" s="524"/>
      <c r="K916" s="568"/>
      <c r="M916" s="524"/>
    </row>
    <row r="917" spans="5:13" ht="12.3">
      <c r="E917" s="523"/>
      <c r="G917" s="524"/>
      <c r="H917" s="524"/>
      <c r="I917" s="524"/>
      <c r="J917" s="524"/>
      <c r="K917" s="568"/>
      <c r="M917" s="524"/>
    </row>
    <row r="918" spans="5:13" ht="12.3">
      <c r="E918" s="523"/>
      <c r="G918" s="524"/>
      <c r="H918" s="524"/>
      <c r="I918" s="524"/>
      <c r="J918" s="524"/>
      <c r="K918" s="568"/>
      <c r="M918" s="524"/>
    </row>
    <row r="919" spans="5:13" ht="12.3">
      <c r="E919" s="523"/>
      <c r="G919" s="524"/>
      <c r="H919" s="524"/>
      <c r="I919" s="524"/>
      <c r="J919" s="524"/>
      <c r="K919" s="568"/>
      <c r="M919" s="524"/>
    </row>
    <row r="920" spans="5:13" ht="12.3">
      <c r="E920" s="523"/>
      <c r="G920" s="524"/>
      <c r="H920" s="524"/>
      <c r="I920" s="524"/>
      <c r="J920" s="524"/>
      <c r="K920" s="568"/>
      <c r="M920" s="524"/>
    </row>
    <row r="921" spans="5:13" ht="12.3">
      <c r="E921" s="523"/>
      <c r="G921" s="524"/>
      <c r="H921" s="524"/>
      <c r="I921" s="524"/>
      <c r="J921" s="524"/>
      <c r="K921" s="568"/>
      <c r="M921" s="524"/>
    </row>
    <row r="922" spans="5:13" ht="12.3">
      <c r="E922" s="523"/>
      <c r="G922" s="524"/>
      <c r="H922" s="524"/>
      <c r="I922" s="524"/>
      <c r="J922" s="524"/>
      <c r="K922" s="568"/>
      <c r="M922" s="524"/>
    </row>
    <row r="923" spans="5:13" ht="12.3">
      <c r="E923" s="523"/>
      <c r="G923" s="524"/>
      <c r="H923" s="524"/>
      <c r="I923" s="524"/>
      <c r="J923" s="524"/>
      <c r="K923" s="568"/>
      <c r="M923" s="524"/>
    </row>
    <row r="924" spans="5:13" ht="12.3">
      <c r="E924" s="523"/>
      <c r="G924" s="524"/>
      <c r="H924" s="524"/>
      <c r="I924" s="524"/>
      <c r="J924" s="524"/>
      <c r="K924" s="568"/>
      <c r="M924" s="524"/>
    </row>
    <row r="925" spans="5:13" ht="12.3">
      <c r="E925" s="523"/>
      <c r="G925" s="524"/>
      <c r="H925" s="524"/>
      <c r="I925" s="524"/>
      <c r="J925" s="524"/>
      <c r="K925" s="568"/>
      <c r="M925" s="524"/>
    </row>
    <row r="926" spans="5:13" ht="12.3">
      <c r="E926" s="523"/>
      <c r="G926" s="524"/>
      <c r="H926" s="524"/>
      <c r="I926" s="524"/>
      <c r="J926" s="524"/>
      <c r="K926" s="568"/>
      <c r="M926" s="524"/>
    </row>
    <row r="927" spans="5:13" ht="12.3">
      <c r="E927" s="523"/>
      <c r="G927" s="524"/>
      <c r="H927" s="524"/>
      <c r="I927" s="524"/>
      <c r="J927" s="524"/>
      <c r="K927" s="568"/>
      <c r="M927" s="524"/>
    </row>
    <row r="928" spans="5:13" ht="12.3">
      <c r="E928" s="523"/>
      <c r="G928" s="524"/>
      <c r="H928" s="524"/>
      <c r="I928" s="524"/>
      <c r="J928" s="524"/>
      <c r="K928" s="568"/>
      <c r="M928" s="524"/>
    </row>
    <row r="929" spans="5:13" ht="12.3">
      <c r="E929" s="523"/>
      <c r="G929" s="524"/>
      <c r="H929" s="524"/>
      <c r="I929" s="524"/>
      <c r="J929" s="524"/>
      <c r="K929" s="568"/>
      <c r="M929" s="524"/>
    </row>
    <row r="930" spans="5:13" ht="12.3">
      <c r="E930" s="523"/>
      <c r="G930" s="524"/>
      <c r="H930" s="524"/>
      <c r="I930" s="524"/>
      <c r="J930" s="524"/>
      <c r="K930" s="568"/>
      <c r="M930" s="524"/>
    </row>
    <row r="931" spans="5:13" ht="12.3">
      <c r="E931" s="523"/>
      <c r="G931" s="524"/>
      <c r="H931" s="524"/>
      <c r="I931" s="524"/>
      <c r="J931" s="524"/>
      <c r="K931" s="568"/>
      <c r="M931" s="524"/>
    </row>
    <row r="932" spans="5:13" ht="12.3">
      <c r="E932" s="523"/>
      <c r="G932" s="524"/>
      <c r="H932" s="524"/>
      <c r="I932" s="524"/>
      <c r="J932" s="524"/>
      <c r="K932" s="568"/>
      <c r="M932" s="524"/>
    </row>
    <row r="933" spans="5:13" ht="12.3">
      <c r="E933" s="523"/>
      <c r="G933" s="524"/>
      <c r="H933" s="524"/>
      <c r="I933" s="524"/>
      <c r="J933" s="524"/>
      <c r="K933" s="568"/>
      <c r="M933" s="524"/>
    </row>
    <row r="934" spans="5:13" ht="12.3">
      <c r="E934" s="523"/>
      <c r="G934" s="524"/>
      <c r="H934" s="524"/>
      <c r="I934" s="524"/>
      <c r="J934" s="524"/>
      <c r="K934" s="568"/>
      <c r="M934" s="524"/>
    </row>
    <row r="935" spans="5:13" ht="12.3">
      <c r="E935" s="523"/>
      <c r="G935" s="524"/>
      <c r="H935" s="524"/>
      <c r="I935" s="524"/>
      <c r="J935" s="524"/>
      <c r="K935" s="568"/>
      <c r="M935" s="524"/>
    </row>
    <row r="936" spans="5:13" ht="12.3">
      <c r="E936" s="523"/>
      <c r="G936" s="524"/>
      <c r="H936" s="524"/>
      <c r="I936" s="524"/>
      <c r="J936" s="524"/>
      <c r="K936" s="568"/>
      <c r="M936" s="524"/>
    </row>
    <row r="937" spans="5:13" ht="12.3">
      <c r="E937" s="523"/>
      <c r="G937" s="524"/>
      <c r="H937" s="524"/>
      <c r="I937" s="524"/>
      <c r="J937" s="524"/>
      <c r="K937" s="568"/>
      <c r="M937" s="524"/>
    </row>
    <row r="938" spans="5:13" ht="12.3">
      <c r="E938" s="523"/>
      <c r="G938" s="524"/>
      <c r="H938" s="524"/>
      <c r="I938" s="524"/>
      <c r="J938" s="524"/>
      <c r="K938" s="568"/>
      <c r="M938" s="524"/>
    </row>
    <row r="939" spans="5:13" ht="12.3">
      <c r="E939" s="523"/>
      <c r="G939" s="524"/>
      <c r="H939" s="524"/>
      <c r="I939" s="524"/>
      <c r="J939" s="524"/>
      <c r="K939" s="568"/>
      <c r="M939" s="524"/>
    </row>
    <row r="940" spans="5:13" ht="12.3">
      <c r="E940" s="523"/>
      <c r="G940" s="524"/>
      <c r="H940" s="524"/>
      <c r="I940" s="524"/>
      <c r="J940" s="524"/>
      <c r="K940" s="568"/>
      <c r="M940" s="524"/>
    </row>
    <row r="941" spans="5:13" ht="12.3">
      <c r="E941" s="523"/>
      <c r="G941" s="524"/>
      <c r="H941" s="524"/>
      <c r="I941" s="524"/>
      <c r="J941" s="524"/>
      <c r="K941" s="568"/>
      <c r="M941" s="524"/>
    </row>
    <row r="942" spans="5:13" ht="12.3">
      <c r="E942" s="523"/>
      <c r="G942" s="524"/>
      <c r="H942" s="524"/>
      <c r="I942" s="524"/>
      <c r="J942" s="524"/>
      <c r="K942" s="568"/>
      <c r="M942" s="524"/>
    </row>
    <row r="943" spans="5:13" ht="12.3">
      <c r="E943" s="523"/>
      <c r="G943" s="524"/>
      <c r="H943" s="524"/>
      <c r="I943" s="524"/>
      <c r="J943" s="524"/>
      <c r="K943" s="568"/>
      <c r="M943" s="524"/>
    </row>
    <row r="944" spans="5:13" ht="12.3">
      <c r="E944" s="523"/>
      <c r="G944" s="524"/>
      <c r="H944" s="524"/>
      <c r="I944" s="524"/>
      <c r="J944" s="524"/>
      <c r="K944" s="568"/>
      <c r="M944" s="524"/>
    </row>
    <row r="945" spans="5:13" ht="12.3">
      <c r="E945" s="523"/>
      <c r="G945" s="524"/>
      <c r="H945" s="524"/>
      <c r="I945" s="524"/>
      <c r="J945" s="524"/>
      <c r="K945" s="568"/>
      <c r="M945" s="524"/>
    </row>
    <row r="946" spans="5:13" ht="12.3">
      <c r="E946" s="523"/>
      <c r="G946" s="524"/>
      <c r="H946" s="524"/>
      <c r="I946" s="524"/>
      <c r="J946" s="524"/>
      <c r="K946" s="568"/>
      <c r="M946" s="524"/>
    </row>
    <row r="947" spans="5:13" ht="12.3">
      <c r="E947" s="523"/>
      <c r="G947" s="524"/>
      <c r="H947" s="524"/>
      <c r="I947" s="524"/>
      <c r="J947" s="524"/>
      <c r="K947" s="568"/>
      <c r="M947" s="524"/>
    </row>
    <row r="948" spans="5:13" ht="12.3">
      <c r="E948" s="523"/>
      <c r="G948" s="524"/>
      <c r="H948" s="524"/>
      <c r="I948" s="524"/>
      <c r="J948" s="524"/>
      <c r="K948" s="568"/>
      <c r="M948" s="524"/>
    </row>
    <row r="949" spans="5:13" ht="12.3">
      <c r="E949" s="523"/>
      <c r="G949" s="524"/>
      <c r="H949" s="524"/>
      <c r="I949" s="524"/>
      <c r="J949" s="524"/>
      <c r="K949" s="568"/>
      <c r="M949" s="524"/>
    </row>
    <row r="950" spans="5:13" ht="12.3">
      <c r="E950" s="523"/>
      <c r="G950" s="524"/>
      <c r="H950" s="524"/>
      <c r="I950" s="524"/>
      <c r="J950" s="524"/>
      <c r="K950" s="568"/>
      <c r="M950" s="524"/>
    </row>
    <row r="951" spans="5:13" ht="12.3">
      <c r="E951" s="523"/>
      <c r="G951" s="524"/>
      <c r="H951" s="524"/>
      <c r="I951" s="524"/>
      <c r="J951" s="524"/>
      <c r="K951" s="568"/>
      <c r="M951" s="524"/>
    </row>
    <row r="952" spans="5:13" ht="12.3">
      <c r="E952" s="523"/>
      <c r="G952" s="524"/>
      <c r="H952" s="524"/>
      <c r="I952" s="524"/>
      <c r="J952" s="524"/>
      <c r="K952" s="568"/>
      <c r="M952" s="524"/>
    </row>
    <row r="953" spans="5:13" ht="12.3">
      <c r="E953" s="523"/>
      <c r="G953" s="524"/>
      <c r="H953" s="524"/>
      <c r="I953" s="524"/>
      <c r="J953" s="524"/>
      <c r="K953" s="568"/>
      <c r="M953" s="524"/>
    </row>
    <row r="954" spans="5:13" ht="12.3">
      <c r="E954" s="523"/>
      <c r="G954" s="524"/>
      <c r="H954" s="524"/>
      <c r="I954" s="524"/>
      <c r="J954" s="524"/>
      <c r="K954" s="568"/>
      <c r="M954" s="524"/>
    </row>
    <row r="955" spans="5:13" ht="12.3">
      <c r="E955" s="523"/>
      <c r="G955" s="524"/>
      <c r="H955" s="524"/>
      <c r="I955" s="524"/>
      <c r="J955" s="524"/>
      <c r="K955" s="568"/>
      <c r="M955" s="524"/>
    </row>
    <row r="956" spans="5:13" ht="12.3">
      <c r="E956" s="523"/>
      <c r="G956" s="524"/>
      <c r="H956" s="524"/>
      <c r="I956" s="524"/>
      <c r="J956" s="524"/>
      <c r="K956" s="568"/>
      <c r="M956" s="524"/>
    </row>
    <row r="957" spans="5:13" ht="12.3">
      <c r="E957" s="523"/>
      <c r="G957" s="524"/>
      <c r="H957" s="524"/>
      <c r="I957" s="524"/>
      <c r="J957" s="524"/>
      <c r="K957" s="568"/>
      <c r="M957" s="524"/>
    </row>
    <row r="958" spans="5:13" ht="12.3">
      <c r="E958" s="523"/>
      <c r="G958" s="524"/>
      <c r="H958" s="524"/>
      <c r="I958" s="524"/>
      <c r="J958" s="524"/>
      <c r="K958" s="568"/>
      <c r="M958" s="524"/>
    </row>
    <row r="959" spans="5:13" ht="12.3">
      <c r="E959" s="523"/>
      <c r="G959" s="524"/>
      <c r="H959" s="524"/>
      <c r="I959" s="524"/>
      <c r="J959" s="524"/>
      <c r="K959" s="568"/>
      <c r="M959" s="524"/>
    </row>
    <row r="960" spans="5:13" ht="12.3">
      <c r="E960" s="523"/>
      <c r="G960" s="524"/>
      <c r="H960" s="524"/>
      <c r="I960" s="524"/>
      <c r="J960" s="524"/>
      <c r="K960" s="568"/>
      <c r="M960" s="524"/>
    </row>
    <row r="961" spans="5:13" ht="12.3">
      <c r="E961" s="523"/>
      <c r="G961" s="524"/>
      <c r="H961" s="524"/>
      <c r="I961" s="524"/>
      <c r="J961" s="524"/>
      <c r="K961" s="568"/>
      <c r="M961" s="524"/>
    </row>
    <row r="962" spans="5:13" ht="12.3">
      <c r="E962" s="523"/>
      <c r="G962" s="524"/>
      <c r="H962" s="524"/>
      <c r="I962" s="524"/>
      <c r="J962" s="524"/>
      <c r="K962" s="568"/>
      <c r="M962" s="524"/>
    </row>
    <row r="963" spans="5:13" ht="12.3">
      <c r="E963" s="523"/>
      <c r="G963" s="524"/>
      <c r="H963" s="524"/>
      <c r="I963" s="524"/>
      <c r="J963" s="524"/>
      <c r="K963" s="568"/>
      <c r="M963" s="524"/>
    </row>
    <row r="964" spans="5:13" ht="12.3">
      <c r="E964" s="523"/>
      <c r="G964" s="524"/>
      <c r="H964" s="524"/>
      <c r="I964" s="524"/>
      <c r="J964" s="524"/>
      <c r="K964" s="568"/>
      <c r="M964" s="524"/>
    </row>
    <row r="965" spans="5:13" ht="12.3">
      <c r="E965" s="523"/>
      <c r="G965" s="524"/>
      <c r="H965" s="524"/>
      <c r="I965" s="524"/>
      <c r="J965" s="524"/>
      <c r="K965" s="568"/>
      <c r="M965" s="524"/>
    </row>
    <row r="966" spans="5:13" ht="12.3">
      <c r="E966" s="523"/>
      <c r="G966" s="524"/>
      <c r="H966" s="524"/>
      <c r="I966" s="524"/>
      <c r="J966" s="524"/>
      <c r="K966" s="568"/>
      <c r="M966" s="524"/>
    </row>
    <row r="967" spans="5:13" ht="12.3">
      <c r="E967" s="523"/>
      <c r="G967" s="524"/>
      <c r="H967" s="524"/>
      <c r="I967" s="524"/>
      <c r="J967" s="524"/>
      <c r="K967" s="568"/>
      <c r="M967" s="524"/>
    </row>
    <row r="968" spans="5:13" ht="12.3">
      <c r="E968" s="523"/>
      <c r="G968" s="524"/>
      <c r="H968" s="524"/>
      <c r="I968" s="524"/>
      <c r="J968" s="524"/>
      <c r="K968" s="568"/>
      <c r="M968" s="524"/>
    </row>
    <row r="969" spans="5:13" ht="12.3">
      <c r="E969" s="523"/>
      <c r="G969" s="524"/>
      <c r="H969" s="524"/>
      <c r="I969" s="524"/>
      <c r="J969" s="524"/>
      <c r="K969" s="568"/>
      <c r="M969" s="524"/>
    </row>
    <row r="970" spans="5:13" ht="12.3">
      <c r="E970" s="523"/>
      <c r="G970" s="524"/>
      <c r="H970" s="524"/>
      <c r="I970" s="524"/>
      <c r="J970" s="524"/>
      <c r="K970" s="568"/>
      <c r="M970" s="524"/>
    </row>
    <row r="971" spans="5:13" ht="12.3">
      <c r="E971" s="523"/>
      <c r="G971" s="524"/>
      <c r="H971" s="524"/>
      <c r="I971" s="524"/>
      <c r="J971" s="524"/>
      <c r="K971" s="568"/>
      <c r="M971" s="524"/>
    </row>
    <row r="972" spans="5:13" ht="12.3">
      <c r="E972" s="523"/>
      <c r="G972" s="524"/>
      <c r="H972" s="524"/>
      <c r="I972" s="524"/>
      <c r="J972" s="524"/>
      <c r="K972" s="568"/>
      <c r="M972" s="524"/>
    </row>
    <row r="973" spans="5:13" ht="12.3">
      <c r="E973" s="523"/>
      <c r="G973" s="524"/>
      <c r="H973" s="524"/>
      <c r="I973" s="524"/>
      <c r="J973" s="524"/>
      <c r="K973" s="568"/>
      <c r="M973" s="524"/>
    </row>
    <row r="974" spans="5:13" ht="12.3">
      <c r="E974" s="523"/>
      <c r="G974" s="524"/>
      <c r="H974" s="524"/>
      <c r="I974" s="524"/>
      <c r="J974" s="524"/>
      <c r="K974" s="568"/>
      <c r="M974" s="524"/>
    </row>
    <row r="975" spans="5:13" ht="12.3">
      <c r="E975" s="523"/>
      <c r="G975" s="524"/>
      <c r="H975" s="524"/>
      <c r="I975" s="524"/>
      <c r="J975" s="524"/>
      <c r="K975" s="568"/>
      <c r="M975" s="524"/>
    </row>
    <row r="976" spans="5:13" ht="12.3">
      <c r="E976" s="523"/>
      <c r="G976" s="524"/>
      <c r="H976" s="524"/>
      <c r="I976" s="524"/>
      <c r="J976" s="524"/>
      <c r="K976" s="568"/>
      <c r="M976" s="524"/>
    </row>
    <row r="977" spans="5:13" ht="12.3">
      <c r="E977" s="523"/>
      <c r="G977" s="524"/>
      <c r="H977" s="524"/>
      <c r="I977" s="524"/>
      <c r="J977" s="524"/>
      <c r="K977" s="568"/>
      <c r="M977" s="524"/>
    </row>
    <row r="978" spans="5:13" ht="12.3">
      <c r="E978" s="523"/>
      <c r="G978" s="524"/>
      <c r="H978" s="524"/>
      <c r="I978" s="524"/>
      <c r="J978" s="524"/>
      <c r="K978" s="568"/>
      <c r="M978" s="524"/>
    </row>
    <row r="979" spans="5:13" ht="12.3">
      <c r="E979" s="523"/>
      <c r="G979" s="524"/>
      <c r="H979" s="524"/>
      <c r="I979" s="524"/>
      <c r="J979" s="524"/>
      <c r="K979" s="568"/>
      <c r="M979" s="524"/>
    </row>
    <row r="980" spans="5:13" ht="12.3">
      <c r="E980" s="523"/>
      <c r="G980" s="524"/>
      <c r="H980" s="524"/>
      <c r="I980" s="524"/>
      <c r="J980" s="524"/>
      <c r="K980" s="568"/>
      <c r="M980" s="524"/>
    </row>
    <row r="981" spans="5:13" ht="12.3">
      <c r="E981" s="523"/>
      <c r="G981" s="524"/>
      <c r="H981" s="524"/>
      <c r="I981" s="524"/>
      <c r="J981" s="524"/>
      <c r="K981" s="568"/>
      <c r="M981" s="524"/>
    </row>
    <row r="982" spans="5:13" ht="12.3">
      <c r="E982" s="523"/>
      <c r="G982" s="524"/>
      <c r="H982" s="524"/>
      <c r="I982" s="524"/>
      <c r="J982" s="524"/>
      <c r="K982" s="568"/>
      <c r="M982" s="524"/>
    </row>
    <row r="983" spans="5:13" ht="12.3">
      <c r="E983" s="523"/>
      <c r="G983" s="524"/>
      <c r="H983" s="524"/>
      <c r="I983" s="524"/>
      <c r="J983" s="524"/>
      <c r="K983" s="568"/>
      <c r="M983" s="524"/>
    </row>
    <row r="984" spans="5:13" ht="12.3">
      <c r="E984" s="523"/>
      <c r="G984" s="524"/>
      <c r="H984" s="524"/>
      <c r="I984" s="524"/>
      <c r="J984" s="524"/>
      <c r="K984" s="568"/>
      <c r="M984" s="524"/>
    </row>
    <row r="985" spans="5:13" ht="12.3">
      <c r="E985" s="523"/>
      <c r="G985" s="524"/>
      <c r="H985" s="524"/>
      <c r="I985" s="524"/>
      <c r="J985" s="524"/>
      <c r="K985" s="568"/>
      <c r="M985" s="524"/>
    </row>
    <row r="986" spans="5:13" ht="12.3">
      <c r="E986" s="523"/>
      <c r="G986" s="524"/>
      <c r="H986" s="524"/>
      <c r="I986" s="524"/>
      <c r="J986" s="524"/>
      <c r="K986" s="568"/>
      <c r="M986" s="524"/>
    </row>
    <row r="987" spans="5:13" ht="12.3">
      <c r="E987" s="523"/>
      <c r="G987" s="524"/>
      <c r="H987" s="524"/>
      <c r="I987" s="524"/>
      <c r="J987" s="524"/>
      <c r="K987" s="568"/>
      <c r="M987" s="524"/>
    </row>
    <row r="988" spans="5:13" ht="12.3">
      <c r="E988" s="523"/>
      <c r="G988" s="524"/>
      <c r="H988" s="524"/>
      <c r="I988" s="524"/>
      <c r="J988" s="524"/>
      <c r="K988" s="568"/>
      <c r="M988" s="524"/>
    </row>
    <row r="989" spans="5:13" ht="12.3">
      <c r="E989" s="523"/>
      <c r="G989" s="524"/>
      <c r="H989" s="524"/>
      <c r="I989" s="524"/>
      <c r="J989" s="524"/>
      <c r="K989" s="568"/>
      <c r="M989" s="524"/>
    </row>
    <row r="990" spans="5:13" ht="12.3">
      <c r="E990" s="523"/>
      <c r="G990" s="524"/>
      <c r="H990" s="524"/>
      <c r="I990" s="524"/>
      <c r="J990" s="524"/>
      <c r="K990" s="568"/>
      <c r="M990" s="524"/>
    </row>
    <row r="991" spans="5:13" ht="12.3">
      <c r="E991" s="523"/>
      <c r="G991" s="524"/>
      <c r="H991" s="524"/>
      <c r="I991" s="524"/>
      <c r="J991" s="524"/>
      <c r="K991" s="568"/>
      <c r="M991" s="524"/>
    </row>
    <row r="992" spans="5:13" ht="12.3">
      <c r="E992" s="523"/>
      <c r="G992" s="524"/>
      <c r="H992" s="524"/>
      <c r="I992" s="524"/>
      <c r="J992" s="524"/>
      <c r="K992" s="568"/>
      <c r="M992" s="524"/>
    </row>
    <row r="993" spans="5:13" ht="12.3">
      <c r="E993" s="523"/>
      <c r="G993" s="524"/>
      <c r="H993" s="524"/>
      <c r="I993" s="524"/>
      <c r="J993" s="524"/>
      <c r="K993" s="568"/>
      <c r="M993" s="524"/>
    </row>
    <row r="994" spans="5:13" ht="12.3">
      <c r="E994" s="523"/>
      <c r="G994" s="524"/>
      <c r="H994" s="524"/>
      <c r="I994" s="524"/>
      <c r="J994" s="524"/>
      <c r="K994" s="568"/>
      <c r="M994" s="524"/>
    </row>
    <row r="995" spans="5:13" ht="12.3">
      <c r="E995" s="523"/>
      <c r="G995" s="524"/>
      <c r="H995" s="524"/>
      <c r="I995" s="524"/>
      <c r="J995" s="524"/>
      <c r="K995" s="568"/>
      <c r="M995" s="524"/>
    </row>
    <row r="996" spans="5:13" ht="12.3">
      <c r="E996" s="523"/>
      <c r="G996" s="524"/>
      <c r="H996" s="524"/>
      <c r="I996" s="524"/>
      <c r="J996" s="524"/>
      <c r="K996" s="568"/>
      <c r="M996" s="524"/>
    </row>
    <row r="997" spans="5:13" ht="12.3">
      <c r="E997" s="523"/>
      <c r="G997" s="524"/>
      <c r="H997" s="524"/>
      <c r="I997" s="524"/>
      <c r="J997" s="524"/>
      <c r="K997" s="568"/>
      <c r="M997" s="524"/>
    </row>
    <row r="998" spans="5:13" ht="12.3">
      <c r="E998" s="523"/>
      <c r="G998" s="524"/>
      <c r="H998" s="524"/>
      <c r="I998" s="524"/>
      <c r="J998" s="524"/>
      <c r="K998" s="568"/>
      <c r="M998" s="524"/>
    </row>
    <row r="999" spans="5:13" ht="12.3">
      <c r="E999" s="523"/>
      <c r="G999" s="524"/>
      <c r="H999" s="524"/>
      <c r="I999" s="524"/>
      <c r="J999" s="524"/>
      <c r="K999" s="568"/>
      <c r="M999" s="524"/>
    </row>
    <row r="1000" spans="5:13" ht="12.3">
      <c r="E1000" s="523"/>
      <c r="G1000" s="524"/>
      <c r="H1000" s="524"/>
      <c r="I1000" s="524"/>
      <c r="J1000" s="524"/>
      <c r="K1000" s="568"/>
      <c r="M1000" s="524"/>
    </row>
    <row r="1001" spans="5:13" ht="12.3">
      <c r="E1001" s="523"/>
      <c r="G1001" s="524"/>
      <c r="H1001" s="524"/>
      <c r="I1001" s="524"/>
      <c r="J1001" s="524"/>
      <c r="K1001" s="568"/>
      <c r="M1001" s="524"/>
    </row>
    <row r="1002" spans="5:13" ht="12.3">
      <c r="E1002" s="523"/>
      <c r="G1002" s="524"/>
      <c r="H1002" s="524"/>
      <c r="I1002" s="524"/>
      <c r="J1002" s="524"/>
      <c r="K1002" s="568"/>
      <c r="M1002" s="524"/>
    </row>
    <row r="1003" spans="5:13" ht="12.3">
      <c r="E1003" s="523"/>
      <c r="G1003" s="524"/>
      <c r="H1003" s="524"/>
      <c r="I1003" s="524"/>
      <c r="J1003" s="524"/>
      <c r="K1003" s="568"/>
      <c r="M1003" s="524"/>
    </row>
    <row r="1004" spans="5:13" ht="12.3">
      <c r="E1004" s="523"/>
      <c r="G1004" s="524"/>
      <c r="H1004" s="524"/>
      <c r="I1004" s="524"/>
      <c r="J1004" s="524"/>
      <c r="K1004" s="568"/>
      <c r="M1004" s="524"/>
    </row>
    <row r="1005" spans="5:13" ht="12.3">
      <c r="E1005" s="523"/>
      <c r="G1005" s="524"/>
      <c r="H1005" s="524"/>
      <c r="I1005" s="524"/>
      <c r="J1005" s="524"/>
      <c r="K1005" s="568"/>
      <c r="M1005" s="524"/>
    </row>
    <row r="1006" spans="5:13" ht="12.3">
      <c r="E1006" s="523"/>
      <c r="G1006" s="524"/>
      <c r="H1006" s="524"/>
      <c r="I1006" s="524"/>
      <c r="J1006" s="524"/>
      <c r="K1006" s="568"/>
      <c r="M1006" s="524"/>
    </row>
    <row r="1007" spans="5:13" ht="12.3">
      <c r="E1007" s="523"/>
      <c r="G1007" s="524"/>
      <c r="H1007" s="524"/>
      <c r="I1007" s="524"/>
      <c r="J1007" s="524"/>
      <c r="K1007" s="568"/>
      <c r="M1007" s="524"/>
    </row>
    <row r="1008" spans="5:13" ht="12.3">
      <c r="E1008" s="523"/>
      <c r="G1008" s="524"/>
      <c r="H1008" s="524"/>
      <c r="I1008" s="524"/>
      <c r="J1008" s="524"/>
      <c r="K1008" s="568"/>
      <c r="M1008" s="524"/>
    </row>
    <row r="1009" spans="5:13" ht="12.3">
      <c r="E1009" s="523"/>
      <c r="G1009" s="524"/>
      <c r="H1009" s="524"/>
      <c r="I1009" s="524"/>
      <c r="J1009" s="524"/>
      <c r="K1009" s="568"/>
      <c r="M1009" s="524"/>
    </row>
    <row r="1010" spans="5:13" ht="12.3">
      <c r="E1010" s="523"/>
      <c r="G1010" s="524"/>
      <c r="H1010" s="524"/>
      <c r="I1010" s="524"/>
      <c r="J1010" s="524"/>
      <c r="K1010" s="568"/>
      <c r="M1010" s="524"/>
    </row>
    <row r="1011" spans="5:13" ht="12.3">
      <c r="E1011" s="523"/>
      <c r="G1011" s="524"/>
      <c r="H1011" s="524"/>
      <c r="I1011" s="524"/>
      <c r="J1011" s="524"/>
      <c r="K1011" s="568"/>
      <c r="M1011" s="524"/>
    </row>
    <row r="1012" spans="5:13" ht="12.3">
      <c r="E1012" s="523"/>
      <c r="G1012" s="524"/>
      <c r="H1012" s="524"/>
      <c r="I1012" s="524"/>
      <c r="J1012" s="524"/>
      <c r="K1012" s="568"/>
      <c r="M1012" s="524"/>
    </row>
    <row r="1013" spans="5:13" ht="12.3">
      <c r="E1013" s="523"/>
      <c r="G1013" s="524"/>
      <c r="H1013" s="524"/>
      <c r="I1013" s="524"/>
      <c r="J1013" s="524"/>
      <c r="K1013" s="568"/>
      <c r="M1013" s="524"/>
    </row>
    <row r="1014" spans="5:13" ht="12.3">
      <c r="E1014" s="523"/>
      <c r="G1014" s="524"/>
      <c r="H1014" s="524"/>
      <c r="I1014" s="524"/>
      <c r="J1014" s="524"/>
      <c r="K1014" s="568"/>
      <c r="M1014" s="524"/>
    </row>
    <row r="1015" spans="5:13" ht="12.3">
      <c r="E1015" s="523"/>
      <c r="G1015" s="524"/>
      <c r="H1015" s="524"/>
      <c r="I1015" s="524"/>
      <c r="J1015" s="524"/>
      <c r="K1015" s="568"/>
      <c r="M1015" s="524"/>
    </row>
    <row r="1016" spans="5:13" ht="12.3">
      <c r="E1016" s="523"/>
      <c r="G1016" s="524"/>
      <c r="H1016" s="524"/>
      <c r="I1016" s="524"/>
      <c r="J1016" s="524"/>
      <c r="K1016" s="568"/>
      <c r="M1016" s="524"/>
    </row>
    <row r="1017" spans="5:13" ht="12.3">
      <c r="E1017" s="523"/>
      <c r="G1017" s="524"/>
      <c r="H1017" s="524"/>
      <c r="I1017" s="524"/>
      <c r="J1017" s="524"/>
      <c r="K1017" s="568"/>
      <c r="M1017" s="524"/>
    </row>
    <row r="1018" spans="5:13" ht="12.3">
      <c r="E1018" s="523"/>
      <c r="G1018" s="524"/>
      <c r="H1018" s="524"/>
      <c r="I1018" s="524"/>
      <c r="J1018" s="524"/>
      <c r="K1018" s="568"/>
      <c r="M1018" s="524"/>
    </row>
    <row r="1019" spans="5:13" ht="12.3">
      <c r="E1019" s="523"/>
      <c r="G1019" s="524"/>
      <c r="H1019" s="524"/>
      <c r="I1019" s="524"/>
      <c r="J1019" s="524"/>
      <c r="K1019" s="568"/>
      <c r="M1019" s="524"/>
    </row>
    <row r="1020" spans="5:13" ht="12.3">
      <c r="E1020" s="523"/>
      <c r="G1020" s="524"/>
      <c r="H1020" s="524"/>
      <c r="I1020" s="524"/>
      <c r="J1020" s="524"/>
      <c r="K1020" s="568"/>
      <c r="M1020" s="524"/>
    </row>
    <row r="1021" spans="5:13" ht="12.3">
      <c r="E1021" s="523"/>
      <c r="G1021" s="524"/>
      <c r="H1021" s="524"/>
      <c r="I1021" s="524"/>
      <c r="J1021" s="524"/>
      <c r="K1021" s="568"/>
      <c r="M1021" s="524"/>
    </row>
    <row r="1022" spans="5:13" ht="12.3">
      <c r="E1022" s="523"/>
      <c r="G1022" s="524"/>
      <c r="H1022" s="524"/>
      <c r="I1022" s="524"/>
      <c r="J1022" s="524"/>
      <c r="K1022" s="568"/>
      <c r="M1022" s="524"/>
    </row>
    <row r="1023" spans="5:13" ht="12.3">
      <c r="E1023" s="523"/>
      <c r="G1023" s="524"/>
      <c r="H1023" s="524"/>
      <c r="I1023" s="524"/>
      <c r="J1023" s="524"/>
      <c r="K1023" s="568"/>
      <c r="M1023" s="524"/>
    </row>
    <row r="1024" spans="5:13" ht="12.3">
      <c r="E1024" s="523"/>
      <c r="G1024" s="524"/>
      <c r="H1024" s="524"/>
      <c r="I1024" s="524"/>
      <c r="J1024" s="524"/>
      <c r="K1024" s="568"/>
      <c r="M1024" s="524"/>
    </row>
    <row r="1025" spans="5:13" ht="12.3">
      <c r="E1025" s="523"/>
      <c r="G1025" s="524"/>
      <c r="H1025" s="524"/>
      <c r="I1025" s="524"/>
      <c r="J1025" s="524"/>
      <c r="K1025" s="568"/>
      <c r="M1025" s="524"/>
    </row>
    <row r="1026" spans="5:13" ht="12.3">
      <c r="E1026" s="523"/>
      <c r="G1026" s="524"/>
      <c r="H1026" s="524"/>
      <c r="I1026" s="524"/>
      <c r="J1026" s="524"/>
      <c r="K1026" s="568"/>
      <c r="M1026" s="524"/>
    </row>
    <row r="1027" spans="5:13" ht="12.3">
      <c r="E1027" s="523"/>
      <c r="G1027" s="524"/>
      <c r="H1027" s="524"/>
      <c r="I1027" s="524"/>
      <c r="J1027" s="524"/>
      <c r="K1027" s="568"/>
      <c r="M1027" s="524"/>
    </row>
    <row r="1028" spans="5:13" ht="12.3">
      <c r="E1028" s="523"/>
      <c r="G1028" s="524"/>
      <c r="H1028" s="524"/>
      <c r="I1028" s="524"/>
      <c r="J1028" s="524"/>
      <c r="K1028" s="568"/>
      <c r="M1028" s="524"/>
    </row>
    <row r="1029" spans="5:13" ht="12.3">
      <c r="E1029" s="523"/>
      <c r="G1029" s="524"/>
      <c r="H1029" s="524"/>
      <c r="I1029" s="524"/>
      <c r="J1029" s="524"/>
      <c r="K1029" s="568"/>
      <c r="M1029" s="524"/>
    </row>
    <row r="1030" spans="5:13" ht="12.3">
      <c r="E1030" s="523"/>
      <c r="G1030" s="524"/>
      <c r="H1030" s="524"/>
      <c r="I1030" s="524"/>
      <c r="J1030" s="524"/>
      <c r="K1030" s="568"/>
      <c r="M1030" s="524"/>
    </row>
    <row r="1031" spans="5:13" ht="12.3">
      <c r="E1031" s="523"/>
      <c r="G1031" s="524"/>
      <c r="H1031" s="524"/>
      <c r="I1031" s="524"/>
      <c r="J1031" s="524"/>
      <c r="K1031" s="568"/>
      <c r="M1031" s="524"/>
    </row>
    <row r="1032" spans="5:13" ht="12.3">
      <c r="E1032" s="523"/>
      <c r="G1032" s="524"/>
      <c r="H1032" s="524"/>
      <c r="I1032" s="524"/>
      <c r="J1032" s="524"/>
      <c r="K1032" s="568"/>
      <c r="M1032" s="524"/>
    </row>
    <row r="1033" spans="5:13" ht="12.3">
      <c r="E1033" s="523"/>
      <c r="G1033" s="524"/>
      <c r="H1033" s="524"/>
      <c r="I1033" s="524"/>
      <c r="J1033" s="524"/>
      <c r="K1033" s="568"/>
      <c r="M1033" s="524"/>
    </row>
    <row r="1034" spans="5:13" ht="12.3">
      <c r="E1034" s="523"/>
      <c r="G1034" s="524"/>
      <c r="H1034" s="524"/>
      <c r="I1034" s="524"/>
      <c r="J1034" s="524"/>
      <c r="K1034" s="568"/>
      <c r="M1034" s="524"/>
    </row>
    <row r="1035" spans="5:13" ht="12.3">
      <c r="E1035" s="523"/>
      <c r="G1035" s="524"/>
      <c r="H1035" s="524"/>
      <c r="I1035" s="524"/>
      <c r="J1035" s="524"/>
      <c r="K1035" s="568"/>
      <c r="M1035" s="524"/>
    </row>
    <row r="1036" spans="5:13" ht="12.3">
      <c r="E1036" s="523"/>
      <c r="G1036" s="524"/>
      <c r="H1036" s="524"/>
      <c r="I1036" s="524"/>
      <c r="J1036" s="524"/>
      <c r="K1036" s="568"/>
      <c r="M1036" s="524"/>
    </row>
    <row r="1037" spans="5:13" ht="12.3">
      <c r="E1037" s="523"/>
      <c r="G1037" s="524"/>
      <c r="H1037" s="524"/>
      <c r="I1037" s="524"/>
      <c r="J1037" s="524"/>
      <c r="K1037" s="568"/>
      <c r="M1037" s="524"/>
    </row>
    <row r="1038" spans="5:13" ht="12.3">
      <c r="E1038" s="523"/>
      <c r="G1038" s="524"/>
      <c r="H1038" s="524"/>
      <c r="I1038" s="524"/>
      <c r="J1038" s="524"/>
      <c r="K1038" s="568"/>
      <c r="M1038" s="524"/>
    </row>
    <row r="1039" spans="5:13" ht="12.3">
      <c r="E1039" s="523"/>
      <c r="G1039" s="524"/>
      <c r="H1039" s="524"/>
      <c r="I1039" s="524"/>
      <c r="J1039" s="524"/>
      <c r="K1039" s="568"/>
      <c r="M1039" s="524"/>
    </row>
    <row r="1040" spans="5:13" ht="12.3">
      <c r="E1040" s="523"/>
      <c r="G1040" s="524"/>
      <c r="H1040" s="524"/>
      <c r="I1040" s="524"/>
      <c r="J1040" s="524"/>
      <c r="K1040" s="568"/>
      <c r="M1040" s="524"/>
    </row>
    <row r="1041" spans="5:13" ht="12.3">
      <c r="E1041" s="523"/>
      <c r="G1041" s="524"/>
      <c r="H1041" s="524"/>
      <c r="I1041" s="524"/>
      <c r="J1041" s="524"/>
      <c r="K1041" s="568"/>
      <c r="M1041" s="524"/>
    </row>
    <row r="1042" spans="5:13" ht="12.3">
      <c r="E1042" s="523"/>
      <c r="G1042" s="524"/>
      <c r="H1042" s="524"/>
      <c r="I1042" s="524"/>
      <c r="J1042" s="524"/>
      <c r="K1042" s="568"/>
      <c r="M1042" s="524"/>
    </row>
    <row r="1043" spans="5:13" ht="12.3">
      <c r="E1043" s="523"/>
      <c r="G1043" s="524"/>
      <c r="H1043" s="524"/>
      <c r="I1043" s="524"/>
      <c r="J1043" s="524"/>
      <c r="K1043" s="568"/>
      <c r="M1043" s="524"/>
    </row>
    <row r="1044" spans="5:13" ht="12.3">
      <c r="E1044" s="523"/>
      <c r="G1044" s="524"/>
      <c r="H1044" s="524"/>
      <c r="I1044" s="524"/>
      <c r="J1044" s="524"/>
      <c r="K1044" s="568"/>
      <c r="M1044" s="524"/>
    </row>
    <row r="1045" spans="5:13" ht="12.3">
      <c r="E1045" s="523"/>
      <c r="G1045" s="524"/>
      <c r="H1045" s="524"/>
      <c r="I1045" s="524"/>
      <c r="J1045" s="524"/>
      <c r="K1045" s="568"/>
      <c r="M1045" s="524"/>
    </row>
    <row r="1046" spans="5:13" ht="12.3">
      <c r="E1046" s="523"/>
      <c r="G1046" s="524"/>
      <c r="H1046" s="524"/>
      <c r="I1046" s="524"/>
      <c r="J1046" s="524"/>
      <c r="K1046" s="568"/>
      <c r="M1046" s="524"/>
    </row>
    <row r="1047" spans="5:13" ht="12.3">
      <c r="E1047" s="523"/>
      <c r="G1047" s="524"/>
      <c r="H1047" s="524"/>
      <c r="I1047" s="524"/>
      <c r="J1047" s="524"/>
      <c r="K1047" s="568"/>
      <c r="M1047" s="524"/>
    </row>
    <row r="1048" spans="5:13" ht="12.3">
      <c r="E1048" s="523"/>
      <c r="G1048" s="524"/>
      <c r="H1048" s="524"/>
      <c r="I1048" s="524"/>
      <c r="J1048" s="524"/>
      <c r="K1048" s="568"/>
      <c r="M1048" s="524"/>
    </row>
    <row r="1049" spans="5:13" ht="12.3">
      <c r="E1049" s="523"/>
      <c r="G1049" s="524"/>
      <c r="H1049" s="524"/>
      <c r="I1049" s="524"/>
      <c r="J1049" s="524"/>
      <c r="K1049" s="568"/>
      <c r="M1049" s="524"/>
    </row>
    <row r="1050" spans="5:13" ht="12.3">
      <c r="E1050" s="523"/>
      <c r="G1050" s="524"/>
      <c r="H1050" s="524"/>
      <c r="I1050" s="524"/>
      <c r="J1050" s="524"/>
      <c r="K1050" s="568"/>
      <c r="M1050" s="524"/>
    </row>
    <row r="1051" spans="5:13" ht="12.3">
      <c r="E1051" s="523"/>
      <c r="G1051" s="524"/>
      <c r="H1051" s="524"/>
      <c r="I1051" s="524"/>
      <c r="J1051" s="524"/>
      <c r="K1051" s="568"/>
      <c r="M1051" s="524"/>
    </row>
    <row r="1052" spans="5:13" ht="12.3">
      <c r="E1052" s="523"/>
      <c r="G1052" s="524"/>
      <c r="H1052" s="524"/>
      <c r="I1052" s="524"/>
      <c r="J1052" s="524"/>
      <c r="K1052" s="568"/>
      <c r="M1052" s="524"/>
    </row>
    <row r="1053" spans="5:13" ht="12.3">
      <c r="E1053" s="523"/>
      <c r="G1053" s="524"/>
      <c r="H1053" s="524"/>
      <c r="I1053" s="524"/>
      <c r="J1053" s="524"/>
      <c r="K1053" s="568"/>
      <c r="M1053" s="524"/>
    </row>
    <row r="1054" spans="5:13" ht="12.3">
      <c r="E1054" s="523"/>
      <c r="G1054" s="524"/>
      <c r="H1054" s="524"/>
      <c r="I1054" s="524"/>
      <c r="J1054" s="524"/>
      <c r="K1054" s="568"/>
      <c r="M1054" s="524"/>
    </row>
    <row r="1055" spans="5:13" ht="12.3">
      <c r="E1055" s="523"/>
      <c r="G1055" s="524"/>
      <c r="H1055" s="524"/>
      <c r="I1055" s="524"/>
      <c r="J1055" s="524"/>
      <c r="K1055" s="568"/>
      <c r="M1055" s="524"/>
    </row>
    <row r="1056" spans="5:13" ht="12.3">
      <c r="E1056" s="523"/>
      <c r="G1056" s="524"/>
      <c r="H1056" s="524"/>
      <c r="I1056" s="524"/>
      <c r="J1056" s="524"/>
      <c r="K1056" s="568"/>
      <c r="M1056" s="524"/>
    </row>
    <row r="1057" spans="5:13" ht="12.3">
      <c r="E1057" s="523"/>
      <c r="G1057" s="524"/>
      <c r="H1057" s="524"/>
      <c r="I1057" s="524"/>
      <c r="J1057" s="524"/>
      <c r="K1057" s="568"/>
      <c r="M1057" s="524"/>
    </row>
    <row r="1058" spans="5:13" ht="12.3">
      <c r="E1058" s="523"/>
      <c r="G1058" s="524"/>
      <c r="H1058" s="524"/>
      <c r="I1058" s="524"/>
      <c r="J1058" s="524"/>
      <c r="K1058" s="568"/>
      <c r="M1058" s="524"/>
    </row>
  </sheetData>
  <sheetProtection algorithmName="SHA-512" hashValue="TOzl97F6f819kLsoJ10qm4UoFLC63Ghyd8XbWl+AzKohBISWbJ78DHW0StoUoRbcgY3qLRK0EX7J7yM4EL8yEg==" saltValue="+lyojnWMh6KciCWbkl7LMw==" spinCount="100000" sheet="1" objects="1" scenarios="1"/>
  <mergeCells count="2">
    <mergeCell ref="L12:N13"/>
    <mergeCell ref="A3:D6"/>
  </mergeCells>
  <dataValidations count="6">
    <dataValidation type="list" allowBlank="1" sqref="D93:D106" xr:uid="{00000000-0002-0000-0800-000000000000}">
      <formula1>$L$3:$L$12</formula1>
    </dataValidation>
    <dataValidation type="list" allowBlank="1" sqref="F93:F106" xr:uid="{00000000-0002-0000-0800-000001000000}">
      <formula1>$M$3:$M$9</formula1>
    </dataValidation>
    <dataValidation type="list" allowBlank="1" sqref="L17 L35:L48 K55:K68 K73:K86" xr:uid="{00000000-0002-0000-0800-000002000000}">
      <formula1>$M$3:$M$11</formula1>
    </dataValidation>
    <dataValidation type="list" allowBlank="1" showInputMessage="1" showErrorMessage="1" sqref="L18:L30" xr:uid="{17B2074C-FAC8-4B7A-8903-E5DB46EFDC9D}">
      <formula1>$M$3:$M$11</formula1>
    </dataValidation>
    <dataValidation type="list" allowBlank="1" sqref="K35:K48 J55:J68 J73:J86" xr:uid="{B6D8120D-291B-4D1D-BA2F-C72019A47A18}">
      <formula1>$L$3:$L$11</formula1>
    </dataValidation>
    <dataValidation type="list" allowBlank="1" showInputMessage="1" showErrorMessage="1" sqref="K17:K30" xr:uid="{E0718F07-84CC-4DC1-A964-C381F538038E}">
      <formula1>$L$3:$L$11</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249977111117893"/>
    <outlinePr summaryBelow="0" summaryRight="0"/>
  </sheetPr>
  <dimension ref="A1:BB986"/>
  <sheetViews>
    <sheetView showGridLines="0" topLeftCell="A91" zoomScaleNormal="100" workbookViewId="0">
      <selection activeCell="F76" sqref="F76"/>
    </sheetView>
  </sheetViews>
  <sheetFormatPr defaultColWidth="17.27734375" defaultRowHeight="15" customHeight="1"/>
  <cols>
    <col min="1" max="1" width="5.71875" customWidth="1"/>
    <col min="2" max="2" width="7.5546875" style="279" customWidth="1"/>
    <col min="3" max="3" width="9.5546875" style="279" hidden="1" customWidth="1"/>
    <col min="4" max="4" width="24.1640625" style="279" customWidth="1"/>
    <col min="5" max="5" width="28.83203125" style="279" customWidth="1"/>
    <col min="6" max="6" width="13.27734375" style="279" customWidth="1"/>
    <col min="7" max="7" width="13.109375" style="279" customWidth="1"/>
    <col min="8" max="8" width="11.5" style="279" customWidth="1"/>
    <col min="9" max="9" width="12.44140625" style="279" customWidth="1"/>
    <col min="10" max="10" width="12.44140625" style="1108" customWidth="1"/>
    <col min="11" max="11" width="8.94140625" style="279" customWidth="1"/>
    <col min="12" max="12" width="8.83203125" style="279" customWidth="1"/>
    <col min="13" max="13" width="9.33203125" style="279" customWidth="1"/>
    <col min="14" max="14" width="11.27734375" style="279" customWidth="1"/>
    <col min="15" max="15" width="9.109375" style="279" customWidth="1"/>
    <col min="16" max="16" width="8.6640625" style="279" customWidth="1"/>
    <col min="17" max="17" width="9.109375" style="279" customWidth="1"/>
    <col min="18" max="18" width="7.27734375" style="279" customWidth="1"/>
    <col min="19" max="19" width="8.27734375" style="279" customWidth="1"/>
    <col min="20" max="20" width="2.5546875" style="279" customWidth="1"/>
    <col min="21" max="21" width="2.27734375" style="279" customWidth="1"/>
    <col min="22" max="22" width="2.83203125" style="279" customWidth="1"/>
    <col min="23" max="25" width="2.27734375" style="279" customWidth="1"/>
    <col min="26" max="31" width="2.27734375" style="203" customWidth="1"/>
    <col min="32" max="33" width="4" style="203" customWidth="1"/>
    <col min="34" max="34" width="9.109375" style="203" customWidth="1"/>
    <col min="35" max="35" width="8" style="203" customWidth="1"/>
    <col min="36" max="37" width="12" style="203" customWidth="1"/>
    <col min="38" max="38" width="10.5546875" style="203" customWidth="1"/>
    <col min="39" max="39" width="12" style="203" customWidth="1"/>
    <col min="40" max="40" width="11.5546875" style="203" customWidth="1"/>
    <col min="41" max="41" width="11" style="203" customWidth="1"/>
    <col min="42" max="42" width="10.5546875" style="203" customWidth="1"/>
    <col min="43" max="43" width="12.44140625" style="203" customWidth="1"/>
    <col min="44" max="44" width="8.27734375" style="203" customWidth="1"/>
    <col min="45" max="45" width="10" customWidth="1"/>
    <col min="46" max="46" width="9.5546875" customWidth="1"/>
  </cols>
  <sheetData>
    <row r="1" spans="1:54" ht="14.25" customHeight="1">
      <c r="A1" s="27"/>
      <c r="B1" s="415"/>
      <c r="C1" s="294"/>
      <c r="D1" s="293"/>
      <c r="E1" s="368"/>
      <c r="F1" s="595"/>
      <c r="G1" s="595"/>
      <c r="H1" s="626"/>
      <c r="I1" s="626"/>
      <c r="J1" s="626"/>
      <c r="K1" s="626"/>
      <c r="L1" s="626"/>
      <c r="M1" s="294"/>
      <c r="N1" s="294"/>
      <c r="O1" s="294"/>
      <c r="P1" s="294"/>
      <c r="Q1" s="294"/>
      <c r="R1" s="293"/>
      <c r="S1" s="293"/>
      <c r="T1" s="293"/>
      <c r="U1" s="293"/>
      <c r="V1" s="293"/>
      <c r="W1" s="293"/>
      <c r="X1" s="293"/>
      <c r="Y1" s="293"/>
      <c r="Z1" s="227"/>
      <c r="AA1" s="227"/>
      <c r="AB1" s="227"/>
      <c r="AC1" s="227"/>
      <c r="AD1" s="227"/>
      <c r="AE1" s="227"/>
      <c r="AF1" s="214"/>
      <c r="AG1" s="214"/>
      <c r="AH1" s="214"/>
      <c r="AI1" s="214"/>
      <c r="AJ1" s="228"/>
      <c r="AK1" s="228"/>
      <c r="AL1" s="228"/>
      <c r="AM1" s="219"/>
      <c r="AN1" s="219"/>
      <c r="AO1" s="219"/>
      <c r="AP1" s="214"/>
      <c r="AQ1" s="214"/>
      <c r="AR1" s="214"/>
      <c r="AS1" s="3"/>
      <c r="AT1" s="3"/>
      <c r="AU1" s="3"/>
      <c r="AV1" s="3"/>
      <c r="AW1" s="3"/>
      <c r="AX1" s="3"/>
      <c r="AY1" s="3"/>
      <c r="AZ1" s="3"/>
      <c r="BA1" s="3"/>
      <c r="BB1" s="3"/>
    </row>
    <row r="2" spans="1:54" ht="26.25" customHeight="1">
      <c r="A2" s="23"/>
      <c r="B2" s="627"/>
      <c r="F2" s="595"/>
      <c r="G2" s="595"/>
      <c r="H2" s="626"/>
      <c r="I2" s="626"/>
      <c r="J2" s="626"/>
      <c r="K2" s="626"/>
      <c r="L2" s="626"/>
      <c r="AH2" s="1487" t="s">
        <v>896</v>
      </c>
      <c r="AI2" s="1488"/>
      <c r="AJ2" s="1486" t="s">
        <v>134</v>
      </c>
      <c r="AK2" s="1477"/>
      <c r="AL2" s="1478"/>
      <c r="AM2" s="1485" t="s">
        <v>135</v>
      </c>
      <c r="AN2" s="1477"/>
      <c r="AO2" s="1477"/>
      <c r="AP2" s="1477"/>
      <c r="AQ2" s="1478"/>
    </row>
    <row r="3" spans="1:54" ht="24.75" customHeight="1">
      <c r="A3" s="23"/>
      <c r="B3" s="627" t="s">
        <v>138</v>
      </c>
      <c r="F3" s="628" t="s">
        <v>135</v>
      </c>
      <c r="G3" s="1285" t="s">
        <v>891</v>
      </c>
      <c r="H3" s="517">
        <v>0.1</v>
      </c>
      <c r="I3" s="626"/>
      <c r="J3" s="626"/>
      <c r="K3" s="626"/>
      <c r="L3" s="626"/>
      <c r="M3" s="626"/>
      <c r="AH3" s="1294" t="s">
        <v>897</v>
      </c>
      <c r="AI3" s="1295" t="s">
        <v>145</v>
      </c>
      <c r="AJ3" s="1296" t="s">
        <v>148</v>
      </c>
      <c r="AK3" s="1296" t="s">
        <v>131</v>
      </c>
      <c r="AL3" s="1297" t="s">
        <v>149</v>
      </c>
      <c r="AM3" s="1298" t="s">
        <v>148</v>
      </c>
      <c r="AN3" s="1298" t="s">
        <v>131</v>
      </c>
      <c r="AO3" s="1298" t="s">
        <v>154</v>
      </c>
      <c r="AP3" s="1298" t="s">
        <v>155</v>
      </c>
      <c r="AQ3" s="1298" t="s">
        <v>156</v>
      </c>
    </row>
    <row r="4" spans="1:54" ht="12.3" customHeight="1">
      <c r="A4" s="23"/>
      <c r="B4" s="1474" t="s">
        <v>895</v>
      </c>
      <c r="C4" s="1474"/>
      <c r="D4" s="1474"/>
      <c r="E4" s="630"/>
      <c r="F4" s="628" t="s">
        <v>157</v>
      </c>
      <c r="G4" s="629" t="s">
        <v>158</v>
      </c>
      <c r="H4" s="517"/>
      <c r="AH4" s="437">
        <f t="shared" ref="AH4:AH15" si="0">E84</f>
        <v>1</v>
      </c>
      <c r="AI4" s="1299" t="s">
        <v>159</v>
      </c>
      <c r="AJ4" s="944">
        <f t="shared" ref="AJ4:AJ15" si="1">L84</f>
        <v>0</v>
      </c>
      <c r="AK4" s="944">
        <f t="shared" ref="AK4:AK15" si="2">L101</f>
        <v>0</v>
      </c>
      <c r="AL4" s="944">
        <f>AK4+AJ4</f>
        <v>0</v>
      </c>
      <c r="AM4" s="944">
        <f>SUMPRODUCT(T17:T25, P17:P25)</f>
        <v>36</v>
      </c>
      <c r="AN4" s="944">
        <f>SUMPRODUCT(T30:T38, P30:P38)</f>
        <v>0</v>
      </c>
      <c r="AO4" s="944">
        <f>SUMPRODUCT(T43:T47, P43:P47)</f>
        <v>0</v>
      </c>
      <c r="AP4" s="944">
        <f>SUMPRODUCT(T53:T57, P53:P57)</f>
        <v>0</v>
      </c>
      <c r="AQ4" s="944">
        <f t="shared" ref="AQ4:AQ15" si="3">SUM(AM4:AP4)</f>
        <v>36</v>
      </c>
    </row>
    <row r="5" spans="1:54" ht="12.3">
      <c r="A5" s="23"/>
      <c r="B5" s="1474"/>
      <c r="C5" s="1474"/>
      <c r="D5" s="1474"/>
      <c r="E5" s="630"/>
      <c r="F5" s="628" t="s">
        <v>168</v>
      </c>
      <c r="G5" s="336" t="str">
        <f>IF('Please Read First'!C11="metric", "$ per 1,000L", "$ per 1,000 gal")</f>
        <v>$ per 1,000 gal</v>
      </c>
      <c r="H5" s="517"/>
      <c r="AH5" s="437">
        <f t="shared" si="0"/>
        <v>2</v>
      </c>
      <c r="AI5" s="1299" t="s">
        <v>173</v>
      </c>
      <c r="AJ5" s="944">
        <f t="shared" si="1"/>
        <v>0</v>
      </c>
      <c r="AK5" s="944">
        <f t="shared" si="2"/>
        <v>0</v>
      </c>
      <c r="AL5" s="944">
        <f t="shared" ref="AL5:AL15" si="4">AK5+AJ5</f>
        <v>0</v>
      </c>
      <c r="AM5" s="944">
        <f>SUMPRODUCT(U17:U25, P17:P25)</f>
        <v>36</v>
      </c>
      <c r="AN5" s="944">
        <f>SUMPRODUCT(U30:U38, P30:P38)</f>
        <v>0</v>
      </c>
      <c r="AO5" s="944">
        <f>SUMPRODUCT(U43:U47, P43:P47)</f>
        <v>0</v>
      </c>
      <c r="AP5" s="944">
        <f>SUMPRODUCT(U53:U57, P53:P57)</f>
        <v>0</v>
      </c>
      <c r="AQ5" s="944">
        <f t="shared" si="3"/>
        <v>36</v>
      </c>
    </row>
    <row r="6" spans="1:54" ht="19.5" customHeight="1">
      <c r="A6" s="23"/>
      <c r="B6" s="1474"/>
      <c r="C6" s="1474"/>
      <c r="D6" s="1474"/>
      <c r="E6" s="630"/>
      <c r="F6" s="628" t="s">
        <v>4</v>
      </c>
      <c r="G6" s="628" t="s">
        <v>179</v>
      </c>
      <c r="H6" s="631" t="s">
        <v>31</v>
      </c>
      <c r="I6" s="631" t="s">
        <v>21</v>
      </c>
      <c r="J6" s="631" t="s">
        <v>32</v>
      </c>
      <c r="K6" s="631" t="s">
        <v>33</v>
      </c>
      <c r="AH6" s="437">
        <f t="shared" si="0"/>
        <v>3</v>
      </c>
      <c r="AI6" s="1299" t="s">
        <v>182</v>
      </c>
      <c r="AJ6" s="944">
        <f t="shared" si="1"/>
        <v>0</v>
      </c>
      <c r="AK6" s="944">
        <f t="shared" si="2"/>
        <v>0</v>
      </c>
      <c r="AL6" s="944">
        <f t="shared" si="4"/>
        <v>0</v>
      </c>
      <c r="AM6" s="944">
        <f>SUMPRODUCT(V17:V25, P17:P25)</f>
        <v>0</v>
      </c>
      <c r="AN6" s="944">
        <f>SUMPRODUCT(V30:V38, P30:P38)</f>
        <v>0</v>
      </c>
      <c r="AO6" s="944">
        <f>SUMPRODUCT(V43:V47, P43:P47)</f>
        <v>0</v>
      </c>
      <c r="AP6" s="944">
        <f>SUMPRODUCT(V53:V57, P53:P57)</f>
        <v>0</v>
      </c>
      <c r="AQ6" s="944">
        <f t="shared" si="3"/>
        <v>0</v>
      </c>
    </row>
    <row r="7" spans="1:54" ht="12.3">
      <c r="A7" s="23"/>
      <c r="B7" s="1474"/>
      <c r="C7" s="1474"/>
      <c r="D7" s="1474"/>
      <c r="E7" s="630"/>
      <c r="F7" s="632" t="s">
        <v>138</v>
      </c>
      <c r="G7" s="633"/>
      <c r="H7" s="337">
        <f>SUM(G12:R12)</f>
        <v>360</v>
      </c>
      <c r="I7" s="337">
        <f>H7*(1+$G$7)</f>
        <v>360</v>
      </c>
      <c r="J7" s="337">
        <f>I7*(1+$G$7)</f>
        <v>360</v>
      </c>
      <c r="K7" s="337">
        <f>J7*(1+$G$7)</f>
        <v>360</v>
      </c>
      <c r="AC7" s="229"/>
      <c r="AF7" s="214"/>
      <c r="AG7" s="214"/>
      <c r="AH7" s="437">
        <f t="shared" si="0"/>
        <v>4</v>
      </c>
      <c r="AI7" s="1299" t="s">
        <v>205</v>
      </c>
      <c r="AJ7" s="944">
        <f t="shared" si="1"/>
        <v>0</v>
      </c>
      <c r="AK7" s="944">
        <f t="shared" si="2"/>
        <v>0</v>
      </c>
      <c r="AL7" s="944">
        <f t="shared" si="4"/>
        <v>0</v>
      </c>
      <c r="AM7" s="944">
        <f>SUMPRODUCT(W17:W25, P17:P25)</f>
        <v>36</v>
      </c>
      <c r="AN7" s="944">
        <f>SUMPRODUCT(W30:W38, P30:P38)</f>
        <v>0</v>
      </c>
      <c r="AO7" s="944">
        <f>SUMPRODUCT(W43:W47, P43:P47)</f>
        <v>0</v>
      </c>
      <c r="AP7" s="944">
        <f>SUMPRODUCT(W53:W57, P53:P57)</f>
        <v>0</v>
      </c>
      <c r="AQ7" s="944">
        <f t="shared" si="3"/>
        <v>36</v>
      </c>
      <c r="AR7" s="214"/>
      <c r="AS7" s="3"/>
      <c r="AT7" s="3"/>
    </row>
    <row r="8" spans="1:54" ht="12" customHeight="1">
      <c r="A8" s="23"/>
      <c r="B8" s="1474"/>
      <c r="C8" s="1474"/>
      <c r="D8" s="1474"/>
      <c r="E8" s="630"/>
      <c r="F8" s="635" t="s">
        <v>222</v>
      </c>
      <c r="G8" s="1282">
        <f>'2 yr monthly cash flow'!B8</f>
        <v>6</v>
      </c>
      <c r="H8" s="636">
        <f>'2 yr monthly cash flow'!C8</f>
        <v>7</v>
      </c>
      <c r="I8" s="637">
        <f>'2 yr monthly cash flow'!D8</f>
        <v>8</v>
      </c>
      <c r="J8" s="637">
        <f>'2 yr monthly cash flow'!E8</f>
        <v>9</v>
      </c>
      <c r="K8" s="637">
        <f>'2 yr monthly cash flow'!F8</f>
        <v>10</v>
      </c>
      <c r="L8" s="637">
        <f>'2 yr monthly cash flow'!G8</f>
        <v>11</v>
      </c>
      <c r="M8" s="637">
        <f>'2 yr monthly cash flow'!H8</f>
        <v>12</v>
      </c>
      <c r="N8" s="637">
        <f>'2 yr monthly cash flow'!I8</f>
        <v>1</v>
      </c>
      <c r="O8" s="637">
        <f>'2 yr monthly cash flow'!J8</f>
        <v>2</v>
      </c>
      <c r="P8" s="637">
        <f>'2 yr monthly cash flow'!K8</f>
        <v>3</v>
      </c>
      <c r="Q8" s="637">
        <f>'2 yr monthly cash flow'!L8</f>
        <v>4</v>
      </c>
      <c r="R8" s="637">
        <f>'2 yr monthly cash flow'!M8</f>
        <v>5</v>
      </c>
      <c r="U8" s="638"/>
      <c r="V8" s="638"/>
      <c r="W8" s="638"/>
      <c r="X8" s="638"/>
      <c r="Y8" s="638"/>
      <c r="Z8" s="230"/>
      <c r="AA8" s="230"/>
      <c r="AF8" s="230"/>
      <c r="AG8" s="230"/>
      <c r="AH8" s="437">
        <f t="shared" si="0"/>
        <v>5</v>
      </c>
      <c r="AI8" s="1299" t="s">
        <v>233</v>
      </c>
      <c r="AJ8" s="944">
        <f t="shared" si="1"/>
        <v>0</v>
      </c>
      <c r="AK8" s="944">
        <f t="shared" si="2"/>
        <v>0</v>
      </c>
      <c r="AL8" s="944">
        <f t="shared" si="4"/>
        <v>0</v>
      </c>
      <c r="AM8" s="944">
        <f>SUMPRODUCT(X17:X25, P17:P25)</f>
        <v>0</v>
      </c>
      <c r="AN8" s="944">
        <f>SUMPRODUCT(X30:X38, P30:P38)</f>
        <v>0</v>
      </c>
      <c r="AO8" s="944">
        <f>SUMPRODUCT(X43:X47, P43:P47)</f>
        <v>0</v>
      </c>
      <c r="AP8" s="944">
        <f>SUMPRODUCT(X53:X57, P53:P57)</f>
        <v>0</v>
      </c>
      <c r="AQ8" s="944">
        <f t="shared" si="3"/>
        <v>0</v>
      </c>
      <c r="AR8" s="230"/>
      <c r="AS8" s="3"/>
      <c r="AT8" s="3"/>
    </row>
    <row r="9" spans="1:54" ht="17.25" customHeight="1">
      <c r="A9" s="23"/>
      <c r="B9" s="1474"/>
      <c r="C9" s="1474"/>
      <c r="D9" s="1474"/>
      <c r="E9" s="630"/>
      <c r="F9" s="639" t="s">
        <v>249</v>
      </c>
      <c r="G9" s="640">
        <f>IFERROR(LOOKUP(G8,$AH$4:$AH$15,$AL$4:$AL$15),0)</f>
        <v>0</v>
      </c>
      <c r="H9" s="640">
        <f t="shared" ref="H9:R9" si="5">LOOKUP(H8, $AH$4:$AH$15, $AL$4:$AL$15)</f>
        <v>0</v>
      </c>
      <c r="I9" s="640">
        <f t="shared" si="5"/>
        <v>0</v>
      </c>
      <c r="J9" s="640">
        <f t="shared" si="5"/>
        <v>0</v>
      </c>
      <c r="K9" s="640">
        <f t="shared" si="5"/>
        <v>0</v>
      </c>
      <c r="L9" s="640">
        <f t="shared" si="5"/>
        <v>0</v>
      </c>
      <c r="M9" s="640">
        <f t="shared" si="5"/>
        <v>0</v>
      </c>
      <c r="N9" s="640">
        <f t="shared" si="5"/>
        <v>0</v>
      </c>
      <c r="O9" s="640">
        <f t="shared" si="5"/>
        <v>0</v>
      </c>
      <c r="P9" s="640">
        <f t="shared" si="5"/>
        <v>0</v>
      </c>
      <c r="Q9" s="640">
        <f t="shared" si="5"/>
        <v>0</v>
      </c>
      <c r="R9" s="640">
        <f t="shared" si="5"/>
        <v>0</v>
      </c>
      <c r="U9" s="479"/>
      <c r="V9" s="479"/>
      <c r="W9" s="479"/>
      <c r="X9" s="479"/>
      <c r="Y9" s="479"/>
      <c r="Z9" s="231"/>
      <c r="AA9" s="231"/>
      <c r="AF9" s="231"/>
      <c r="AG9" s="231"/>
      <c r="AH9" s="437">
        <f t="shared" si="0"/>
        <v>6</v>
      </c>
      <c r="AI9" s="1299" t="s">
        <v>251</v>
      </c>
      <c r="AJ9" s="944">
        <f t="shared" si="1"/>
        <v>0</v>
      </c>
      <c r="AK9" s="944">
        <f t="shared" si="2"/>
        <v>0</v>
      </c>
      <c r="AL9" s="944">
        <f t="shared" si="4"/>
        <v>0</v>
      </c>
      <c r="AM9" s="944">
        <f>SUMPRODUCT(Y17:Y25, P17:P25)</f>
        <v>36</v>
      </c>
      <c r="AN9" s="944">
        <f>SUMPRODUCT(Y30:Y38, P30:P38)</f>
        <v>0</v>
      </c>
      <c r="AO9" s="944">
        <f>SUMPRODUCT(Y43:Y47, P43:P47)</f>
        <v>0</v>
      </c>
      <c r="AP9" s="944">
        <f>SUMPRODUCT(Y53:Y57, P53:P57)</f>
        <v>0</v>
      </c>
      <c r="AQ9" s="944">
        <f t="shared" si="3"/>
        <v>36</v>
      </c>
      <c r="AR9" s="232"/>
      <c r="AS9" s="3"/>
      <c r="AT9" s="3"/>
    </row>
    <row r="10" spans="1:54" ht="15.75" customHeight="1">
      <c r="A10" s="23"/>
      <c r="B10" s="1474"/>
      <c r="C10" s="1474"/>
      <c r="D10" s="1474"/>
      <c r="E10" s="630"/>
      <c r="F10" s="639" t="s">
        <v>135</v>
      </c>
      <c r="G10" s="640">
        <f>IFERROR(LOOKUP(G8,$AH$4:$AH$15,$AQ$4:$AQ$15),0)</f>
        <v>36</v>
      </c>
      <c r="H10" s="640">
        <f t="shared" ref="H10:R10" si="6">LOOKUP(H8, $AH$4:$AH$15, $AQ$4:$AQ$15)</f>
        <v>36</v>
      </c>
      <c r="I10" s="640">
        <f t="shared" si="6"/>
        <v>36</v>
      </c>
      <c r="J10" s="640">
        <f t="shared" si="6"/>
        <v>36</v>
      </c>
      <c r="K10" s="640">
        <f t="shared" si="6"/>
        <v>36</v>
      </c>
      <c r="L10" s="640">
        <f t="shared" si="6"/>
        <v>36</v>
      </c>
      <c r="M10" s="640">
        <f t="shared" si="6"/>
        <v>36</v>
      </c>
      <c r="N10" s="640">
        <f t="shared" si="6"/>
        <v>36</v>
      </c>
      <c r="O10" s="640">
        <f t="shared" si="6"/>
        <v>36</v>
      </c>
      <c r="P10" s="640">
        <f t="shared" si="6"/>
        <v>0</v>
      </c>
      <c r="Q10" s="640">
        <f t="shared" si="6"/>
        <v>36</v>
      </c>
      <c r="R10" s="640">
        <f t="shared" si="6"/>
        <v>0</v>
      </c>
      <c r="U10" s="479"/>
      <c r="V10" s="479"/>
      <c r="W10" s="479"/>
      <c r="X10" s="479"/>
      <c r="Y10" s="479"/>
      <c r="Z10" s="231"/>
      <c r="AA10" s="231"/>
      <c r="AF10" s="231"/>
      <c r="AG10" s="231"/>
      <c r="AH10" s="437">
        <f t="shared" si="0"/>
        <v>7</v>
      </c>
      <c r="AI10" s="1299" t="s">
        <v>259</v>
      </c>
      <c r="AJ10" s="944">
        <f t="shared" si="1"/>
        <v>0</v>
      </c>
      <c r="AK10" s="944">
        <f t="shared" si="2"/>
        <v>0</v>
      </c>
      <c r="AL10" s="944">
        <f t="shared" si="4"/>
        <v>0</v>
      </c>
      <c r="AM10" s="944">
        <f>SUMPRODUCT(Z17:Z25, P17:P25)</f>
        <v>36</v>
      </c>
      <c r="AN10" s="944">
        <f>SUMPRODUCT(Z30:Z38, P30:P38)</f>
        <v>0</v>
      </c>
      <c r="AO10" s="944">
        <f>SUMPRODUCT(Z43:Z47, P43:P47)</f>
        <v>0</v>
      </c>
      <c r="AP10" s="944">
        <f>SUMPRODUCT(Z53:Z57, P53:P57)</f>
        <v>0</v>
      </c>
      <c r="AQ10" s="944">
        <f t="shared" si="3"/>
        <v>36</v>
      </c>
      <c r="AR10" s="232"/>
      <c r="AS10" s="3"/>
      <c r="AT10" s="3"/>
    </row>
    <row r="11" spans="1:54" ht="12" customHeight="1">
      <c r="A11" s="23"/>
      <c r="B11" s="1474"/>
      <c r="C11" s="1474"/>
      <c r="D11" s="1474"/>
      <c r="E11" s="630"/>
      <c r="F11" s="639" t="s">
        <v>168</v>
      </c>
      <c r="G11" s="640">
        <f>$H$5*F79/1000</f>
        <v>0</v>
      </c>
      <c r="H11" s="337">
        <f t="shared" ref="H11:R11" si="7">$H$5*$F$76/1000</f>
        <v>0</v>
      </c>
      <c r="I11" s="337">
        <f t="shared" si="7"/>
        <v>0</v>
      </c>
      <c r="J11" s="337">
        <f t="shared" si="7"/>
        <v>0</v>
      </c>
      <c r="K11" s="337">
        <f t="shared" si="7"/>
        <v>0</v>
      </c>
      <c r="L11" s="337">
        <f t="shared" si="7"/>
        <v>0</v>
      </c>
      <c r="M11" s="337">
        <f t="shared" si="7"/>
        <v>0</v>
      </c>
      <c r="N11" s="337">
        <f t="shared" si="7"/>
        <v>0</v>
      </c>
      <c r="O11" s="337">
        <f t="shared" si="7"/>
        <v>0</v>
      </c>
      <c r="P11" s="337">
        <f t="shared" si="7"/>
        <v>0</v>
      </c>
      <c r="Q11" s="337">
        <f t="shared" si="7"/>
        <v>0</v>
      </c>
      <c r="R11" s="337">
        <f t="shared" si="7"/>
        <v>0</v>
      </c>
      <c r="U11" s="641"/>
      <c r="V11" s="641"/>
      <c r="W11" s="641"/>
      <c r="X11" s="641"/>
      <c r="Y11" s="641"/>
      <c r="Z11" s="233"/>
      <c r="AA11" s="233"/>
      <c r="AF11" s="233"/>
      <c r="AG11" s="233"/>
      <c r="AH11" s="437">
        <f t="shared" si="0"/>
        <v>8</v>
      </c>
      <c r="AI11" s="1299" t="s">
        <v>266</v>
      </c>
      <c r="AJ11" s="944">
        <f t="shared" si="1"/>
        <v>0</v>
      </c>
      <c r="AK11" s="944">
        <f t="shared" si="2"/>
        <v>0</v>
      </c>
      <c r="AL11" s="944">
        <f t="shared" si="4"/>
        <v>0</v>
      </c>
      <c r="AM11" s="944">
        <f>SUMPRODUCT(AA17:AA25, P17:P25)</f>
        <v>36</v>
      </c>
      <c r="AN11" s="944">
        <f>SUMPRODUCT(AA30:AA38, P30:P38)</f>
        <v>0</v>
      </c>
      <c r="AO11" s="944">
        <f>SUMPRODUCT(AA43:AA47, P43:P47)</f>
        <v>0</v>
      </c>
      <c r="AP11" s="944">
        <f>SUMPRODUCT(AA53:AA57, P53:P57)</f>
        <v>0</v>
      </c>
      <c r="AQ11" s="944">
        <f t="shared" si="3"/>
        <v>36</v>
      </c>
      <c r="AR11" s="234"/>
      <c r="AS11" s="3"/>
      <c r="AT11" s="3"/>
    </row>
    <row r="12" spans="1:54" ht="12" customHeight="1">
      <c r="A12" s="23"/>
      <c r="B12" s="1474"/>
      <c r="C12" s="1474"/>
      <c r="D12" s="1474"/>
      <c r="E12" s="630"/>
      <c r="F12" s="494" t="s">
        <v>289</v>
      </c>
      <c r="G12" s="1283">
        <f>SUM(G9:G11)</f>
        <v>36</v>
      </c>
      <c r="H12" s="1283">
        <f>SUM(H9:H11)</f>
        <v>36</v>
      </c>
      <c r="I12" s="1284">
        <f>SUM(I9:I11)</f>
        <v>36</v>
      </c>
      <c r="J12" s="1284">
        <f t="shared" ref="J12:R12" si="8">SUM(J9:J11)</f>
        <v>36</v>
      </c>
      <c r="K12" s="1284">
        <f t="shared" si="8"/>
        <v>36</v>
      </c>
      <c r="L12" s="1284">
        <f t="shared" si="8"/>
        <v>36</v>
      </c>
      <c r="M12" s="1284">
        <f t="shared" si="8"/>
        <v>36</v>
      </c>
      <c r="N12" s="1284">
        <f t="shared" si="8"/>
        <v>36</v>
      </c>
      <c r="O12" s="1284">
        <f t="shared" si="8"/>
        <v>36</v>
      </c>
      <c r="P12" s="1284">
        <f t="shared" si="8"/>
        <v>0</v>
      </c>
      <c r="Q12" s="1284">
        <f t="shared" si="8"/>
        <v>36</v>
      </c>
      <c r="R12" s="1284">
        <f t="shared" si="8"/>
        <v>0</v>
      </c>
      <c r="U12" s="479"/>
      <c r="V12" s="479"/>
      <c r="W12" s="479"/>
      <c r="X12" s="479"/>
      <c r="Y12" s="479"/>
      <c r="Z12" s="231"/>
      <c r="AA12" s="231"/>
      <c r="AF12" s="231"/>
      <c r="AG12" s="231"/>
      <c r="AH12" s="437">
        <f t="shared" si="0"/>
        <v>9</v>
      </c>
      <c r="AI12" s="1299" t="s">
        <v>329</v>
      </c>
      <c r="AJ12" s="944">
        <f t="shared" si="1"/>
        <v>0</v>
      </c>
      <c r="AK12" s="944">
        <f t="shared" si="2"/>
        <v>0</v>
      </c>
      <c r="AL12" s="944">
        <f t="shared" si="4"/>
        <v>0</v>
      </c>
      <c r="AM12" s="944">
        <f>SUMPRODUCT(AB17:AB25, P17:P25)</f>
        <v>36</v>
      </c>
      <c r="AN12" s="944">
        <f>SUMPRODUCT(AB30:AB38, P30:P38)</f>
        <v>0</v>
      </c>
      <c r="AO12" s="944">
        <f>SUMPRODUCT(AB43:AB47, P43:P47)</f>
        <v>0</v>
      </c>
      <c r="AP12" s="944">
        <f>SUMPRODUCT(AB53:AB57, P53:P57)</f>
        <v>0</v>
      </c>
      <c r="AQ12" s="944">
        <f t="shared" si="3"/>
        <v>36</v>
      </c>
      <c r="AR12" s="232"/>
      <c r="AS12" s="3"/>
      <c r="AT12" s="3"/>
    </row>
    <row r="13" spans="1:54" ht="16.5" customHeight="1">
      <c r="A13" s="23"/>
      <c r="B13" s="642"/>
      <c r="C13" s="642"/>
      <c r="D13" s="642"/>
      <c r="E13" s="643"/>
      <c r="F13" s="643"/>
      <c r="G13" s="644"/>
      <c r="H13" s="644"/>
      <c r="I13" s="644"/>
      <c r="J13" s="644"/>
      <c r="K13" s="644"/>
      <c r="L13" s="644"/>
      <c r="M13" s="644"/>
      <c r="N13" s="644"/>
      <c r="O13" s="642"/>
      <c r="P13" s="642"/>
      <c r="Q13" s="642"/>
      <c r="R13" s="642"/>
      <c r="S13" s="642"/>
      <c r="T13" s="642"/>
      <c r="U13" s="642"/>
      <c r="V13" s="642"/>
      <c r="W13" s="642"/>
      <c r="X13" s="642"/>
      <c r="Y13" s="642"/>
      <c r="Z13" s="235"/>
      <c r="AA13" s="235"/>
      <c r="AB13" s="235"/>
      <c r="AC13" s="235"/>
      <c r="AD13" s="235"/>
      <c r="AE13" s="235"/>
      <c r="AF13" s="235"/>
      <c r="AG13" s="235"/>
      <c r="AH13" s="437">
        <f t="shared" si="0"/>
        <v>10</v>
      </c>
      <c r="AI13" s="1299" t="s">
        <v>354</v>
      </c>
      <c r="AJ13" s="944">
        <f t="shared" si="1"/>
        <v>0</v>
      </c>
      <c r="AK13" s="944">
        <f t="shared" si="2"/>
        <v>0</v>
      </c>
      <c r="AL13" s="944">
        <f t="shared" si="4"/>
        <v>0</v>
      </c>
      <c r="AM13" s="944">
        <f>SUMPRODUCT(AC17:AC25, P17:P25)</f>
        <v>36</v>
      </c>
      <c r="AN13" s="944">
        <f>SUMPRODUCT(AC30:AC38, P30:P38)</f>
        <v>0</v>
      </c>
      <c r="AO13" s="944">
        <f>SUMPRODUCT(AC43:AC47, P43:P47)</f>
        <v>0</v>
      </c>
      <c r="AP13" s="944">
        <f>SUMPRODUCT(AC53:AC57, P53:P57)</f>
        <v>0</v>
      </c>
      <c r="AQ13" s="944">
        <f t="shared" si="3"/>
        <v>36</v>
      </c>
    </row>
    <row r="14" spans="1:54" ht="12" customHeight="1">
      <c r="A14" s="37"/>
      <c r="B14" s="645" t="s">
        <v>148</v>
      </c>
      <c r="C14" s="646"/>
      <c r="D14" s="646"/>
      <c r="E14" s="647"/>
      <c r="F14" s="648"/>
      <c r="G14" s="648"/>
      <c r="H14" s="648"/>
      <c r="K14" s="648"/>
      <c r="L14" s="648"/>
      <c r="M14" s="648"/>
      <c r="N14" s="648"/>
      <c r="O14" s="648"/>
      <c r="P14" s="646"/>
      <c r="Q14" s="646"/>
      <c r="R14" s="646"/>
      <c r="S14" s="646"/>
      <c r="T14" s="646"/>
      <c r="U14" s="646"/>
      <c r="V14" s="646"/>
      <c r="W14" s="646"/>
      <c r="X14" s="646"/>
      <c r="Y14" s="646"/>
      <c r="Z14" s="236"/>
      <c r="AA14" s="236"/>
      <c r="AB14" s="236"/>
      <c r="AC14" s="236"/>
      <c r="AD14" s="236"/>
      <c r="AE14" s="236"/>
      <c r="AF14" s="236"/>
      <c r="AG14" s="236"/>
      <c r="AH14" s="437">
        <f t="shared" si="0"/>
        <v>11</v>
      </c>
      <c r="AI14" s="1299" t="s">
        <v>398</v>
      </c>
      <c r="AJ14" s="944">
        <f t="shared" si="1"/>
        <v>0</v>
      </c>
      <c r="AK14" s="944">
        <f t="shared" si="2"/>
        <v>0</v>
      </c>
      <c r="AL14" s="944">
        <f t="shared" si="4"/>
        <v>0</v>
      </c>
      <c r="AM14" s="944">
        <f>SUMPRODUCT(AD17:AD25, P17:P25)</f>
        <v>36</v>
      </c>
      <c r="AN14" s="944">
        <f>SUMPRODUCT(AD30:AD38, P30:P38)</f>
        <v>0</v>
      </c>
      <c r="AO14" s="944">
        <f>SUMPRODUCT(AD43:AD47, P43:P47)</f>
        <v>0</v>
      </c>
      <c r="AP14" s="944">
        <f>SUMPRODUCT(AD53:AD57, P53:P57)</f>
        <v>0</v>
      </c>
      <c r="AQ14" s="944">
        <f t="shared" si="3"/>
        <v>36</v>
      </c>
    </row>
    <row r="15" spans="1:54" ht="24" customHeight="1">
      <c r="A15" s="37"/>
      <c r="B15" s="1289" t="s">
        <v>419</v>
      </c>
      <c r="C15" s="1289" t="s">
        <v>424</v>
      </c>
      <c r="D15" s="1289" t="s">
        <v>425</v>
      </c>
      <c r="E15" s="1289" t="s">
        <v>426</v>
      </c>
      <c r="F15" s="1291" t="s">
        <v>429</v>
      </c>
      <c r="G15" s="1291" t="s">
        <v>434</v>
      </c>
      <c r="H15" s="1291" t="s">
        <v>435</v>
      </c>
      <c r="I15" s="1286" t="s">
        <v>885</v>
      </c>
      <c r="J15" s="1286" t="s">
        <v>884</v>
      </c>
      <c r="K15" s="1292" t="s">
        <v>436</v>
      </c>
      <c r="L15" s="1287" t="s">
        <v>890</v>
      </c>
      <c r="M15" s="1288" t="s">
        <v>892</v>
      </c>
      <c r="N15" s="1289" t="s">
        <v>437</v>
      </c>
      <c r="O15" s="1290" t="s">
        <v>893</v>
      </c>
      <c r="P15" s="1289" t="s">
        <v>438</v>
      </c>
      <c r="Q15" s="1289" t="s">
        <v>439</v>
      </c>
      <c r="R15" s="1287" t="s">
        <v>889</v>
      </c>
      <c r="S15" s="1287" t="s">
        <v>894</v>
      </c>
      <c r="T15" s="1482" t="s">
        <v>440</v>
      </c>
      <c r="U15" s="1483"/>
      <c r="V15" s="1483"/>
      <c r="W15" s="1483"/>
      <c r="X15" s="1483"/>
      <c r="Y15" s="1483"/>
      <c r="Z15" s="1483"/>
      <c r="AA15" s="1483"/>
      <c r="AB15" s="1483"/>
      <c r="AC15" s="1483"/>
      <c r="AD15" s="1483"/>
      <c r="AE15" s="1484"/>
      <c r="AH15" s="437">
        <f t="shared" si="0"/>
        <v>12</v>
      </c>
      <c r="AI15" s="1299" t="s">
        <v>441</v>
      </c>
      <c r="AJ15" s="944">
        <f t="shared" si="1"/>
        <v>0</v>
      </c>
      <c r="AK15" s="944">
        <f t="shared" si="2"/>
        <v>0</v>
      </c>
      <c r="AL15" s="944">
        <f t="shared" si="4"/>
        <v>0</v>
      </c>
      <c r="AM15" s="944">
        <f>SUMPRODUCT(AE17:AE25, P17:P25)</f>
        <v>36</v>
      </c>
      <c r="AN15" s="944">
        <f>SUMPRODUCT(AE30:AE38, P30:P38)</f>
        <v>0</v>
      </c>
      <c r="AO15" s="944">
        <f>SUMPRODUCT(AE43:AE47, P43:P47)</f>
        <v>0</v>
      </c>
      <c r="AP15" s="944">
        <f>SUMPRODUCT(AE53:AE57, P53:P57)</f>
        <v>0</v>
      </c>
      <c r="AQ15" s="944">
        <f t="shared" si="3"/>
        <v>36</v>
      </c>
    </row>
    <row r="16" spans="1:54" ht="12" customHeight="1">
      <c r="A16" s="23"/>
      <c r="B16" s="441"/>
      <c r="C16" s="353"/>
      <c r="D16" s="649"/>
      <c r="E16" s="649"/>
      <c r="F16" s="650"/>
      <c r="G16" s="650"/>
      <c r="H16" s="651"/>
      <c r="I16" s="650"/>
      <c r="J16" s="650"/>
      <c r="K16" s="650"/>
      <c r="L16" s="651"/>
      <c r="M16" s="651"/>
      <c r="N16" s="652"/>
      <c r="O16" s="653"/>
      <c r="P16" s="652"/>
      <c r="Q16" s="652"/>
      <c r="R16" s="651"/>
      <c r="S16" s="651"/>
      <c r="T16" s="654">
        <v>1</v>
      </c>
      <c r="U16" s="654">
        <v>2</v>
      </c>
      <c r="V16" s="654">
        <v>3</v>
      </c>
      <c r="W16" s="654">
        <v>4</v>
      </c>
      <c r="X16" s="654">
        <v>5</v>
      </c>
      <c r="Y16" s="654">
        <v>6</v>
      </c>
      <c r="Z16" s="237">
        <v>7</v>
      </c>
      <c r="AA16" s="237">
        <v>8</v>
      </c>
      <c r="AB16" s="237">
        <v>9</v>
      </c>
      <c r="AC16" s="237">
        <v>10</v>
      </c>
      <c r="AD16" s="237">
        <v>11</v>
      </c>
      <c r="AE16" s="237">
        <v>12</v>
      </c>
      <c r="AH16" s="367" t="s">
        <v>443</v>
      </c>
      <c r="AI16" s="367" t="s">
        <v>4</v>
      </c>
      <c r="AJ16" s="945">
        <f t="shared" ref="AJ16:AQ16" si="9">SUM(AJ4:AJ15)</f>
        <v>0</v>
      </c>
      <c r="AK16" s="945">
        <f t="shared" si="9"/>
        <v>0</v>
      </c>
      <c r="AL16" s="945">
        <f t="shared" si="9"/>
        <v>0</v>
      </c>
      <c r="AM16" s="945">
        <f t="shared" si="9"/>
        <v>360</v>
      </c>
      <c r="AN16" s="945">
        <f t="shared" si="9"/>
        <v>0</v>
      </c>
      <c r="AO16" s="945">
        <f t="shared" si="9"/>
        <v>0</v>
      </c>
      <c r="AP16" s="945">
        <f t="shared" si="9"/>
        <v>0</v>
      </c>
      <c r="AQ16" s="945">
        <f t="shared" si="9"/>
        <v>360</v>
      </c>
    </row>
    <row r="17" spans="1:35" ht="12" customHeight="1">
      <c r="A17" s="23"/>
      <c r="B17" s="655">
        <v>1</v>
      </c>
      <c r="C17" s="429"/>
      <c r="D17" s="1470" t="s">
        <v>966</v>
      </c>
      <c r="E17" s="923"/>
      <c r="F17" s="1471" t="s">
        <v>967</v>
      </c>
      <c r="G17" s="655">
        <v>120</v>
      </c>
      <c r="H17" s="465">
        <f t="shared" ref="H17:H25" si="10">IF(G17=0, "", K17/G17)</f>
        <v>4.166666666666667</v>
      </c>
      <c r="I17" s="655">
        <v>2000</v>
      </c>
      <c r="J17" s="655">
        <v>500</v>
      </c>
      <c r="K17" s="650">
        <f t="shared" ref="K17:K25" si="11">J17*B17</f>
        <v>500</v>
      </c>
      <c r="L17" s="651">
        <f t="shared" ref="L17:L25" si="12">K17/1000</f>
        <v>0.5</v>
      </c>
      <c r="M17" s="656">
        <f t="shared" ref="M17:M25" si="13">R17*L17</f>
        <v>12</v>
      </c>
      <c r="N17" s="657">
        <f t="shared" ref="N17:N25" si="14">M17*$H$3</f>
        <v>1.2000000000000002</v>
      </c>
      <c r="O17" s="448">
        <f t="shared" ref="O17:O25" si="15">M17*30</f>
        <v>360</v>
      </c>
      <c r="P17" s="657">
        <f t="shared" ref="P17:P25" si="16">O17*$H$3</f>
        <v>36</v>
      </c>
      <c r="Q17" s="657">
        <f t="shared" ref="Q17:Q25" si="17">P17*SUM(T17:AE17)</f>
        <v>360</v>
      </c>
      <c r="R17" s="658">
        <v>24</v>
      </c>
      <c r="S17" s="658">
        <v>7</v>
      </c>
      <c r="T17" s="659">
        <v>1</v>
      </c>
      <c r="U17" s="659">
        <v>1</v>
      </c>
      <c r="V17" s="659">
        <v>0</v>
      </c>
      <c r="W17" s="659">
        <v>1</v>
      </c>
      <c r="X17" s="659">
        <v>0</v>
      </c>
      <c r="Y17" s="659">
        <v>1</v>
      </c>
      <c r="Z17" s="659">
        <v>1</v>
      </c>
      <c r="AA17" s="659">
        <v>1</v>
      </c>
      <c r="AB17" s="659">
        <v>1</v>
      </c>
      <c r="AC17" s="659">
        <v>1</v>
      </c>
      <c r="AD17" s="659">
        <v>1</v>
      </c>
      <c r="AE17" s="659">
        <v>1</v>
      </c>
    </row>
    <row r="18" spans="1:35" ht="12" customHeight="1">
      <c r="A18" s="23"/>
      <c r="B18" s="655"/>
      <c r="C18" s="429"/>
      <c r="D18" s="923"/>
      <c r="E18" s="923"/>
      <c r="F18" s="655"/>
      <c r="G18" s="655"/>
      <c r="H18" s="465" t="str">
        <f t="shared" si="10"/>
        <v/>
      </c>
      <c r="I18" s="655"/>
      <c r="J18" s="655"/>
      <c r="K18" s="650">
        <f t="shared" si="11"/>
        <v>0</v>
      </c>
      <c r="L18" s="651">
        <f t="shared" si="12"/>
        <v>0</v>
      </c>
      <c r="M18" s="656">
        <f t="shared" si="13"/>
        <v>0</v>
      </c>
      <c r="N18" s="657">
        <f t="shared" si="14"/>
        <v>0</v>
      </c>
      <c r="O18" s="448">
        <f t="shared" si="15"/>
        <v>0</v>
      </c>
      <c r="P18" s="657">
        <f t="shared" si="16"/>
        <v>0</v>
      </c>
      <c r="Q18" s="657">
        <f t="shared" si="17"/>
        <v>0</v>
      </c>
      <c r="R18" s="658"/>
      <c r="S18" s="658"/>
      <c r="T18" s="659">
        <v>0</v>
      </c>
      <c r="U18" s="659">
        <v>0</v>
      </c>
      <c r="V18" s="659">
        <v>0</v>
      </c>
      <c r="W18" s="659">
        <v>0</v>
      </c>
      <c r="X18" s="659">
        <v>0</v>
      </c>
      <c r="Y18" s="659">
        <v>0</v>
      </c>
      <c r="Z18" s="659">
        <v>0</v>
      </c>
      <c r="AA18" s="659">
        <v>0</v>
      </c>
      <c r="AB18" s="659">
        <v>0</v>
      </c>
      <c r="AC18" s="659">
        <v>0</v>
      </c>
      <c r="AD18" s="659">
        <v>0</v>
      </c>
      <c r="AE18" s="659">
        <v>0</v>
      </c>
    </row>
    <row r="19" spans="1:35" ht="12" customHeight="1">
      <c r="A19" s="23"/>
      <c r="B19" s="655"/>
      <c r="C19" s="429"/>
      <c r="D19" s="923"/>
      <c r="E19" s="923"/>
      <c r="F19" s="655"/>
      <c r="G19" s="655"/>
      <c r="H19" s="465" t="str">
        <f t="shared" si="10"/>
        <v/>
      </c>
      <c r="I19" s="655"/>
      <c r="J19" s="655"/>
      <c r="K19" s="650">
        <f t="shared" si="11"/>
        <v>0</v>
      </c>
      <c r="L19" s="651">
        <f t="shared" si="12"/>
        <v>0</v>
      </c>
      <c r="M19" s="656">
        <f t="shared" si="13"/>
        <v>0</v>
      </c>
      <c r="N19" s="657">
        <f t="shared" si="14"/>
        <v>0</v>
      </c>
      <c r="O19" s="448">
        <f t="shared" si="15"/>
        <v>0</v>
      </c>
      <c r="P19" s="657">
        <f t="shared" si="16"/>
        <v>0</v>
      </c>
      <c r="Q19" s="657">
        <f t="shared" si="17"/>
        <v>0</v>
      </c>
      <c r="R19" s="658"/>
      <c r="S19" s="658"/>
      <c r="T19" s="659">
        <v>0</v>
      </c>
      <c r="U19" s="659">
        <v>0</v>
      </c>
      <c r="V19" s="659">
        <v>0</v>
      </c>
      <c r="W19" s="659">
        <v>0</v>
      </c>
      <c r="X19" s="659">
        <v>0</v>
      </c>
      <c r="Y19" s="659">
        <v>0</v>
      </c>
      <c r="Z19" s="659">
        <v>0</v>
      </c>
      <c r="AA19" s="659">
        <v>0</v>
      </c>
      <c r="AB19" s="659">
        <v>0</v>
      </c>
      <c r="AC19" s="659">
        <v>0</v>
      </c>
      <c r="AD19" s="659">
        <v>0</v>
      </c>
      <c r="AE19" s="659">
        <v>0</v>
      </c>
    </row>
    <row r="20" spans="1:35" ht="12" customHeight="1">
      <c r="A20" s="23"/>
      <c r="B20" s="655"/>
      <c r="C20" s="429"/>
      <c r="D20" s="923"/>
      <c r="E20" s="923"/>
      <c r="F20" s="655"/>
      <c r="G20" s="655"/>
      <c r="H20" s="465" t="str">
        <f t="shared" si="10"/>
        <v/>
      </c>
      <c r="I20" s="655"/>
      <c r="J20" s="655"/>
      <c r="K20" s="650">
        <f t="shared" si="11"/>
        <v>0</v>
      </c>
      <c r="L20" s="651">
        <f t="shared" si="12"/>
        <v>0</v>
      </c>
      <c r="M20" s="656">
        <f t="shared" si="13"/>
        <v>0</v>
      </c>
      <c r="N20" s="657">
        <f t="shared" si="14"/>
        <v>0</v>
      </c>
      <c r="O20" s="448">
        <f t="shared" si="15"/>
        <v>0</v>
      </c>
      <c r="P20" s="657">
        <f t="shared" si="16"/>
        <v>0</v>
      </c>
      <c r="Q20" s="657">
        <f t="shared" si="17"/>
        <v>0</v>
      </c>
      <c r="R20" s="658"/>
      <c r="S20" s="658"/>
      <c r="T20" s="659">
        <v>0</v>
      </c>
      <c r="U20" s="659">
        <v>0</v>
      </c>
      <c r="V20" s="659">
        <v>0</v>
      </c>
      <c r="W20" s="659">
        <v>0</v>
      </c>
      <c r="X20" s="659">
        <v>0</v>
      </c>
      <c r="Y20" s="659">
        <v>0</v>
      </c>
      <c r="Z20" s="659">
        <v>0</v>
      </c>
      <c r="AA20" s="659">
        <v>0</v>
      </c>
      <c r="AB20" s="659">
        <v>0</v>
      </c>
      <c r="AC20" s="659">
        <v>0</v>
      </c>
      <c r="AD20" s="659">
        <v>0</v>
      </c>
      <c r="AE20" s="659">
        <v>0</v>
      </c>
    </row>
    <row r="21" spans="1:35" ht="12" customHeight="1">
      <c r="A21" s="23"/>
      <c r="B21" s="655"/>
      <c r="C21" s="429"/>
      <c r="D21" s="923"/>
      <c r="E21" s="923"/>
      <c r="F21" s="655"/>
      <c r="G21" s="655"/>
      <c r="H21" s="465" t="str">
        <f t="shared" si="10"/>
        <v/>
      </c>
      <c r="I21" s="655"/>
      <c r="J21" s="655"/>
      <c r="K21" s="650">
        <f t="shared" si="11"/>
        <v>0</v>
      </c>
      <c r="L21" s="651">
        <f t="shared" si="12"/>
        <v>0</v>
      </c>
      <c r="M21" s="656">
        <f t="shared" si="13"/>
        <v>0</v>
      </c>
      <c r="N21" s="657">
        <f t="shared" si="14"/>
        <v>0</v>
      </c>
      <c r="O21" s="448">
        <f t="shared" si="15"/>
        <v>0</v>
      </c>
      <c r="P21" s="657">
        <f t="shared" si="16"/>
        <v>0</v>
      </c>
      <c r="Q21" s="657">
        <f t="shared" si="17"/>
        <v>0</v>
      </c>
      <c r="R21" s="658"/>
      <c r="S21" s="658"/>
      <c r="T21" s="659">
        <v>0</v>
      </c>
      <c r="U21" s="659">
        <v>0</v>
      </c>
      <c r="V21" s="659">
        <v>0</v>
      </c>
      <c r="W21" s="659">
        <v>0</v>
      </c>
      <c r="X21" s="659">
        <v>0</v>
      </c>
      <c r="Y21" s="659">
        <v>0</v>
      </c>
      <c r="Z21" s="659">
        <v>0</v>
      </c>
      <c r="AA21" s="659">
        <v>0</v>
      </c>
      <c r="AB21" s="659">
        <v>0</v>
      </c>
      <c r="AC21" s="659">
        <v>0</v>
      </c>
      <c r="AD21" s="659">
        <v>0</v>
      </c>
      <c r="AE21" s="659">
        <v>0</v>
      </c>
    </row>
    <row r="22" spans="1:35" ht="12" customHeight="1">
      <c r="A22" s="23"/>
      <c r="B22" s="655"/>
      <c r="C22" s="429"/>
      <c r="D22" s="923"/>
      <c r="E22" s="923"/>
      <c r="F22" s="655"/>
      <c r="G22" s="655"/>
      <c r="H22" s="465" t="str">
        <f t="shared" si="10"/>
        <v/>
      </c>
      <c r="I22" s="655"/>
      <c r="J22" s="655"/>
      <c r="K22" s="650">
        <f t="shared" si="11"/>
        <v>0</v>
      </c>
      <c r="L22" s="651">
        <f t="shared" si="12"/>
        <v>0</v>
      </c>
      <c r="M22" s="656">
        <f t="shared" si="13"/>
        <v>0</v>
      </c>
      <c r="N22" s="657">
        <f t="shared" si="14"/>
        <v>0</v>
      </c>
      <c r="O22" s="448">
        <f t="shared" si="15"/>
        <v>0</v>
      </c>
      <c r="P22" s="657">
        <f t="shared" si="16"/>
        <v>0</v>
      </c>
      <c r="Q22" s="657">
        <f t="shared" si="17"/>
        <v>0</v>
      </c>
      <c r="R22" s="658"/>
      <c r="S22" s="658"/>
      <c r="T22" s="659">
        <v>0</v>
      </c>
      <c r="U22" s="659">
        <v>0</v>
      </c>
      <c r="V22" s="659">
        <v>0</v>
      </c>
      <c r="W22" s="659">
        <v>0</v>
      </c>
      <c r="X22" s="659">
        <v>0</v>
      </c>
      <c r="Y22" s="659">
        <v>0</v>
      </c>
      <c r="Z22" s="659">
        <v>0</v>
      </c>
      <c r="AA22" s="659">
        <v>0</v>
      </c>
      <c r="AB22" s="659">
        <v>0</v>
      </c>
      <c r="AC22" s="659">
        <v>0</v>
      </c>
      <c r="AD22" s="659">
        <v>0</v>
      </c>
      <c r="AE22" s="659">
        <v>0</v>
      </c>
    </row>
    <row r="23" spans="1:35" ht="12" customHeight="1">
      <c r="A23" s="23"/>
      <c r="B23" s="655"/>
      <c r="C23" s="429"/>
      <c r="D23" s="923"/>
      <c r="E23" s="923"/>
      <c r="F23" s="655"/>
      <c r="G23" s="655"/>
      <c r="H23" s="465" t="str">
        <f t="shared" si="10"/>
        <v/>
      </c>
      <c r="I23" s="655"/>
      <c r="J23" s="655"/>
      <c r="K23" s="650">
        <f t="shared" si="11"/>
        <v>0</v>
      </c>
      <c r="L23" s="651">
        <f t="shared" si="12"/>
        <v>0</v>
      </c>
      <c r="M23" s="656">
        <f t="shared" si="13"/>
        <v>0</v>
      </c>
      <c r="N23" s="657">
        <f t="shared" si="14"/>
        <v>0</v>
      </c>
      <c r="O23" s="448">
        <f t="shared" si="15"/>
        <v>0</v>
      </c>
      <c r="P23" s="657">
        <f t="shared" si="16"/>
        <v>0</v>
      </c>
      <c r="Q23" s="657">
        <f t="shared" si="17"/>
        <v>0</v>
      </c>
      <c r="R23" s="658"/>
      <c r="S23" s="658"/>
      <c r="T23" s="659">
        <v>0</v>
      </c>
      <c r="U23" s="659">
        <v>0</v>
      </c>
      <c r="V23" s="659">
        <v>0</v>
      </c>
      <c r="W23" s="659">
        <v>0</v>
      </c>
      <c r="X23" s="659">
        <v>0</v>
      </c>
      <c r="Y23" s="659">
        <v>0</v>
      </c>
      <c r="Z23" s="659">
        <v>0</v>
      </c>
      <c r="AA23" s="659">
        <v>0</v>
      </c>
      <c r="AB23" s="659">
        <v>0</v>
      </c>
      <c r="AC23" s="659">
        <v>0</v>
      </c>
      <c r="AD23" s="659">
        <v>0</v>
      </c>
      <c r="AE23" s="659">
        <v>0</v>
      </c>
    </row>
    <row r="24" spans="1:35" ht="12" customHeight="1">
      <c r="A24" s="23"/>
      <c r="B24" s="655"/>
      <c r="C24" s="429"/>
      <c r="D24" s="923"/>
      <c r="E24" s="923"/>
      <c r="F24" s="655"/>
      <c r="G24" s="655"/>
      <c r="H24" s="465" t="str">
        <f t="shared" si="10"/>
        <v/>
      </c>
      <c r="I24" s="655"/>
      <c r="J24" s="655"/>
      <c r="K24" s="650">
        <f t="shared" si="11"/>
        <v>0</v>
      </c>
      <c r="L24" s="651">
        <f t="shared" si="12"/>
        <v>0</v>
      </c>
      <c r="M24" s="656">
        <f t="shared" si="13"/>
        <v>0</v>
      </c>
      <c r="N24" s="657">
        <f t="shared" si="14"/>
        <v>0</v>
      </c>
      <c r="O24" s="448">
        <f t="shared" si="15"/>
        <v>0</v>
      </c>
      <c r="P24" s="657">
        <f t="shared" si="16"/>
        <v>0</v>
      </c>
      <c r="Q24" s="657">
        <f t="shared" si="17"/>
        <v>0</v>
      </c>
      <c r="R24" s="658"/>
      <c r="S24" s="658"/>
      <c r="T24" s="659">
        <v>0</v>
      </c>
      <c r="U24" s="659">
        <v>0</v>
      </c>
      <c r="V24" s="659">
        <v>0</v>
      </c>
      <c r="W24" s="659">
        <v>0</v>
      </c>
      <c r="X24" s="659">
        <v>0</v>
      </c>
      <c r="Y24" s="659">
        <v>0</v>
      </c>
      <c r="Z24" s="659">
        <v>0</v>
      </c>
      <c r="AA24" s="659">
        <v>0</v>
      </c>
      <c r="AB24" s="659">
        <v>0</v>
      </c>
      <c r="AC24" s="659">
        <v>0</v>
      </c>
      <c r="AD24" s="659">
        <v>0</v>
      </c>
      <c r="AE24" s="659">
        <v>0</v>
      </c>
    </row>
    <row r="25" spans="1:35" ht="12" customHeight="1">
      <c r="A25" s="23"/>
      <c r="B25" s="655"/>
      <c r="C25" s="429"/>
      <c r="D25" s="923"/>
      <c r="E25" s="923"/>
      <c r="F25" s="655"/>
      <c r="G25" s="655"/>
      <c r="H25" s="465" t="str">
        <f t="shared" si="10"/>
        <v/>
      </c>
      <c r="I25" s="655"/>
      <c r="J25" s="655"/>
      <c r="K25" s="650">
        <f t="shared" si="11"/>
        <v>0</v>
      </c>
      <c r="L25" s="651">
        <f t="shared" si="12"/>
        <v>0</v>
      </c>
      <c r="M25" s="656">
        <f t="shared" si="13"/>
        <v>0</v>
      </c>
      <c r="N25" s="657">
        <f t="shared" si="14"/>
        <v>0</v>
      </c>
      <c r="O25" s="448">
        <f t="shared" si="15"/>
        <v>0</v>
      </c>
      <c r="P25" s="657">
        <f t="shared" si="16"/>
        <v>0</v>
      </c>
      <c r="Q25" s="657">
        <f t="shared" si="17"/>
        <v>0</v>
      </c>
      <c r="R25" s="658"/>
      <c r="S25" s="658"/>
      <c r="T25" s="659">
        <v>0</v>
      </c>
      <c r="U25" s="659">
        <v>0</v>
      </c>
      <c r="V25" s="659">
        <v>0</v>
      </c>
      <c r="W25" s="659">
        <v>0</v>
      </c>
      <c r="X25" s="659">
        <v>0</v>
      </c>
      <c r="Y25" s="659">
        <v>0</v>
      </c>
      <c r="Z25" s="659">
        <v>0</v>
      </c>
      <c r="AA25" s="659">
        <v>0</v>
      </c>
      <c r="AB25" s="659">
        <v>0</v>
      </c>
      <c r="AC25" s="659">
        <v>0</v>
      </c>
      <c r="AD25" s="659">
        <v>0</v>
      </c>
      <c r="AE25" s="659">
        <v>0</v>
      </c>
    </row>
    <row r="26" spans="1:35" ht="12" customHeight="1">
      <c r="A26" s="23"/>
      <c r="D26" s="397"/>
      <c r="E26" s="660" t="s">
        <v>443</v>
      </c>
      <c r="F26" s="661" t="s">
        <v>477</v>
      </c>
      <c r="G26" s="662"/>
      <c r="H26" s="662"/>
      <c r="I26" s="662"/>
      <c r="J26" s="662"/>
      <c r="K26" s="663">
        <f>SUM(K17:K25)</f>
        <v>500</v>
      </c>
      <c r="L26" s="664">
        <f t="shared" ref="L26:Q26" si="18">SUM(L17:L25)</f>
        <v>0.5</v>
      </c>
      <c r="M26" s="664">
        <f t="shared" si="18"/>
        <v>12</v>
      </c>
      <c r="N26" s="1293">
        <f t="shared" si="18"/>
        <v>1.2000000000000002</v>
      </c>
      <c r="O26" s="664">
        <f t="shared" si="18"/>
        <v>360</v>
      </c>
      <c r="P26" s="1293">
        <f t="shared" si="18"/>
        <v>36</v>
      </c>
      <c r="Q26" s="1293">
        <f t="shared" si="18"/>
        <v>360</v>
      </c>
      <c r="R26" s="667"/>
      <c r="S26" s="667"/>
      <c r="T26" s="668"/>
      <c r="U26" s="668"/>
      <c r="V26" s="668"/>
      <c r="W26" s="668"/>
      <c r="X26" s="668"/>
      <c r="Y26" s="668"/>
      <c r="Z26" s="239"/>
      <c r="AA26" s="239"/>
      <c r="AB26" s="239"/>
      <c r="AC26" s="239"/>
      <c r="AD26" s="239"/>
      <c r="AE26" s="239"/>
    </row>
    <row r="27" spans="1:35" ht="12" customHeight="1">
      <c r="A27" s="23"/>
      <c r="B27" s="645" t="s">
        <v>487</v>
      </c>
      <c r="D27" s="670"/>
      <c r="E27" s="670"/>
      <c r="L27" s="299"/>
      <c r="M27" s="299"/>
      <c r="N27" s="299"/>
      <c r="O27" s="672"/>
      <c r="P27" s="673"/>
      <c r="Q27" s="673"/>
      <c r="R27" s="673"/>
      <c r="S27" s="673"/>
      <c r="T27" s="673"/>
      <c r="U27" s="673"/>
      <c r="V27" s="673"/>
      <c r="W27" s="673"/>
      <c r="X27" s="673"/>
      <c r="Y27" s="673"/>
      <c r="Z27" s="241"/>
      <c r="AA27" s="241"/>
      <c r="AD27" s="242"/>
      <c r="AH27" s="243"/>
      <c r="AI27" s="236"/>
    </row>
    <row r="28" spans="1:35" ht="24" customHeight="1">
      <c r="A28" s="37"/>
      <c r="B28" s="1289" t="s">
        <v>419</v>
      </c>
      <c r="C28" s="1289" t="s">
        <v>424</v>
      </c>
      <c r="D28" s="1289" t="s">
        <v>425</v>
      </c>
      <c r="E28" s="1289" t="s">
        <v>426</v>
      </c>
      <c r="F28" s="1291" t="s">
        <v>429</v>
      </c>
      <c r="G28" s="1291" t="s">
        <v>434</v>
      </c>
      <c r="H28" s="1291" t="s">
        <v>435</v>
      </c>
      <c r="I28" s="1286" t="s">
        <v>885</v>
      </c>
      <c r="J28" s="1286" t="s">
        <v>884</v>
      </c>
      <c r="K28" s="1292" t="s">
        <v>436</v>
      </c>
      <c r="L28" s="1287" t="s">
        <v>890</v>
      </c>
      <c r="M28" s="1288" t="s">
        <v>892</v>
      </c>
      <c r="N28" s="1289" t="s">
        <v>437</v>
      </c>
      <c r="O28" s="1290" t="s">
        <v>893</v>
      </c>
      <c r="P28" s="1289" t="s">
        <v>438</v>
      </c>
      <c r="Q28" s="1289" t="s">
        <v>439</v>
      </c>
      <c r="R28" s="1287" t="s">
        <v>889</v>
      </c>
      <c r="S28" s="1287" t="s">
        <v>894</v>
      </c>
      <c r="T28" s="1482" t="s">
        <v>440</v>
      </c>
      <c r="U28" s="1483"/>
      <c r="V28" s="1483"/>
      <c r="W28" s="1483"/>
      <c r="X28" s="1483"/>
      <c r="Y28" s="1483"/>
      <c r="Z28" s="1483"/>
      <c r="AA28" s="1483"/>
      <c r="AB28" s="1483"/>
      <c r="AC28" s="1483"/>
      <c r="AD28" s="1483"/>
      <c r="AE28" s="1484"/>
      <c r="AH28" s="244"/>
      <c r="AI28" s="236"/>
    </row>
    <row r="29" spans="1:35" ht="12" customHeight="1">
      <c r="A29" s="23"/>
      <c r="B29" s="441"/>
      <c r="C29" s="353"/>
      <c r="D29" s="649"/>
      <c r="E29" s="649"/>
      <c r="F29" s="650"/>
      <c r="G29" s="650"/>
      <c r="H29" s="651"/>
      <c r="I29" s="650"/>
      <c r="J29" s="650"/>
      <c r="K29" s="650"/>
      <c r="L29" s="651"/>
      <c r="M29" s="651"/>
      <c r="N29" s="652"/>
      <c r="O29" s="653"/>
      <c r="P29" s="652"/>
      <c r="Q29" s="652"/>
      <c r="R29" s="651"/>
      <c r="S29" s="651"/>
      <c r="T29" s="654">
        <v>1</v>
      </c>
      <c r="U29" s="654">
        <v>2</v>
      </c>
      <c r="V29" s="654">
        <v>3</v>
      </c>
      <c r="W29" s="654">
        <v>4</v>
      </c>
      <c r="X29" s="654">
        <v>5</v>
      </c>
      <c r="Y29" s="654">
        <v>6</v>
      </c>
      <c r="Z29" s="237">
        <v>7</v>
      </c>
      <c r="AA29" s="237">
        <v>8</v>
      </c>
      <c r="AB29" s="237">
        <v>9</v>
      </c>
      <c r="AC29" s="237">
        <v>10</v>
      </c>
      <c r="AD29" s="237">
        <v>11</v>
      </c>
      <c r="AE29" s="237">
        <v>12</v>
      </c>
      <c r="AH29" s="245"/>
      <c r="AI29" s="236"/>
    </row>
    <row r="30" spans="1:35" ht="12" customHeight="1">
      <c r="A30" s="23"/>
      <c r="B30" s="430"/>
      <c r="C30" s="674"/>
      <c r="D30" s="675"/>
      <c r="E30" s="676"/>
      <c r="F30" s="430"/>
      <c r="G30" s="430"/>
      <c r="H30" s="465" t="str">
        <f t="shared" ref="H30:H38" si="19">IF(G30=0, "", K30/G30)</f>
        <v/>
      </c>
      <c r="I30" s="430"/>
      <c r="J30" s="430"/>
      <c r="K30" s="677">
        <f t="shared" ref="K30:K38" si="20">J30*B30</f>
        <v>0</v>
      </c>
      <c r="L30" s="651">
        <f t="shared" ref="L30:L38" si="21">K30/1000</f>
        <v>0</v>
      </c>
      <c r="M30" s="465">
        <f t="shared" ref="M30:M38" si="22">R30*L30</f>
        <v>0</v>
      </c>
      <c r="N30" s="657">
        <f t="shared" ref="N30:N38" si="23">M30*$H$3</f>
        <v>0</v>
      </c>
      <c r="O30" s="448">
        <f t="shared" ref="O30:O38" si="24">M30*30</f>
        <v>0</v>
      </c>
      <c r="P30" s="657">
        <f t="shared" ref="P30:P38" si="25">O30*$H$3</f>
        <v>0</v>
      </c>
      <c r="Q30" s="657">
        <f t="shared" ref="Q30:Q38" si="26">P30*SUM(T30:AE30)</f>
        <v>0</v>
      </c>
      <c r="R30" s="430"/>
      <c r="S30" s="430"/>
      <c r="T30" s="659">
        <v>0</v>
      </c>
      <c r="U30" s="659">
        <v>0</v>
      </c>
      <c r="V30" s="659">
        <v>0</v>
      </c>
      <c r="W30" s="659">
        <v>0</v>
      </c>
      <c r="X30" s="659">
        <v>0</v>
      </c>
      <c r="Y30" s="659">
        <v>0</v>
      </c>
      <c r="Z30" s="659">
        <v>0</v>
      </c>
      <c r="AA30" s="659">
        <v>0</v>
      </c>
      <c r="AB30" s="659">
        <v>0</v>
      </c>
      <c r="AC30" s="659">
        <v>0</v>
      </c>
      <c r="AD30" s="659">
        <v>0</v>
      </c>
      <c r="AE30" s="659">
        <v>0</v>
      </c>
      <c r="AH30" s="245"/>
      <c r="AI30" s="236"/>
    </row>
    <row r="31" spans="1:35" ht="12" customHeight="1">
      <c r="A31" s="23"/>
      <c r="B31" s="430"/>
      <c r="C31" s="674"/>
      <c r="D31" s="676"/>
      <c r="E31" s="676"/>
      <c r="F31" s="430"/>
      <c r="G31" s="430"/>
      <c r="H31" s="465" t="str">
        <f t="shared" si="19"/>
        <v/>
      </c>
      <c r="I31" s="430"/>
      <c r="J31" s="430"/>
      <c r="K31" s="677">
        <f t="shared" si="20"/>
        <v>0</v>
      </c>
      <c r="L31" s="651">
        <f t="shared" si="21"/>
        <v>0</v>
      </c>
      <c r="M31" s="465">
        <f t="shared" si="22"/>
        <v>0</v>
      </c>
      <c r="N31" s="657">
        <f t="shared" si="23"/>
        <v>0</v>
      </c>
      <c r="O31" s="448">
        <f t="shared" si="24"/>
        <v>0</v>
      </c>
      <c r="P31" s="657">
        <f t="shared" si="25"/>
        <v>0</v>
      </c>
      <c r="Q31" s="657">
        <f t="shared" si="26"/>
        <v>0</v>
      </c>
      <c r="R31" s="430"/>
      <c r="S31" s="430"/>
      <c r="T31" s="659">
        <v>0</v>
      </c>
      <c r="U31" s="659">
        <v>0</v>
      </c>
      <c r="V31" s="659">
        <v>0</v>
      </c>
      <c r="W31" s="659">
        <v>0</v>
      </c>
      <c r="X31" s="659">
        <v>0</v>
      </c>
      <c r="Y31" s="659">
        <v>0</v>
      </c>
      <c r="Z31" s="659">
        <v>0</v>
      </c>
      <c r="AA31" s="659">
        <v>0</v>
      </c>
      <c r="AB31" s="659">
        <v>0</v>
      </c>
      <c r="AC31" s="659">
        <v>0</v>
      </c>
      <c r="AD31" s="659">
        <v>0</v>
      </c>
      <c r="AE31" s="659">
        <v>0</v>
      </c>
      <c r="AH31" s="245"/>
      <c r="AI31" s="236"/>
    </row>
    <row r="32" spans="1:35" ht="12" customHeight="1">
      <c r="A32" s="23"/>
      <c r="B32" s="430"/>
      <c r="C32" s="674"/>
      <c r="D32" s="676"/>
      <c r="E32" s="676"/>
      <c r="F32" s="430"/>
      <c r="G32" s="430"/>
      <c r="H32" s="465" t="str">
        <f t="shared" si="19"/>
        <v/>
      </c>
      <c r="I32" s="430"/>
      <c r="J32" s="430"/>
      <c r="K32" s="677">
        <f t="shared" si="20"/>
        <v>0</v>
      </c>
      <c r="L32" s="651">
        <f t="shared" si="21"/>
        <v>0</v>
      </c>
      <c r="M32" s="465">
        <f t="shared" si="22"/>
        <v>0</v>
      </c>
      <c r="N32" s="657">
        <f t="shared" si="23"/>
        <v>0</v>
      </c>
      <c r="O32" s="448">
        <f t="shared" si="24"/>
        <v>0</v>
      </c>
      <c r="P32" s="657">
        <f t="shared" si="25"/>
        <v>0</v>
      </c>
      <c r="Q32" s="657">
        <f t="shared" si="26"/>
        <v>0</v>
      </c>
      <c r="R32" s="430"/>
      <c r="S32" s="430"/>
      <c r="T32" s="659">
        <v>0</v>
      </c>
      <c r="U32" s="659">
        <v>0</v>
      </c>
      <c r="V32" s="659">
        <v>0</v>
      </c>
      <c r="W32" s="659">
        <v>0</v>
      </c>
      <c r="X32" s="659">
        <v>0</v>
      </c>
      <c r="Y32" s="659">
        <v>0</v>
      </c>
      <c r="Z32" s="659">
        <v>0</v>
      </c>
      <c r="AA32" s="659">
        <v>0</v>
      </c>
      <c r="AB32" s="659">
        <v>0</v>
      </c>
      <c r="AC32" s="659">
        <v>0</v>
      </c>
      <c r="AD32" s="659">
        <v>0</v>
      </c>
      <c r="AE32" s="659">
        <v>0</v>
      </c>
      <c r="AH32" s="245"/>
      <c r="AI32" s="236"/>
    </row>
    <row r="33" spans="1:35" ht="12" customHeight="1">
      <c r="A33" s="23"/>
      <c r="B33" s="430"/>
      <c r="C33" s="674"/>
      <c r="D33" s="676"/>
      <c r="E33" s="676"/>
      <c r="F33" s="430"/>
      <c r="G33" s="430"/>
      <c r="H33" s="465" t="str">
        <f t="shared" si="19"/>
        <v/>
      </c>
      <c r="I33" s="430"/>
      <c r="J33" s="430"/>
      <c r="K33" s="677">
        <f t="shared" si="20"/>
        <v>0</v>
      </c>
      <c r="L33" s="651">
        <f t="shared" si="21"/>
        <v>0</v>
      </c>
      <c r="M33" s="465">
        <f t="shared" si="22"/>
        <v>0</v>
      </c>
      <c r="N33" s="657">
        <f t="shared" si="23"/>
        <v>0</v>
      </c>
      <c r="O33" s="448">
        <f t="shared" si="24"/>
        <v>0</v>
      </c>
      <c r="P33" s="657">
        <f t="shared" si="25"/>
        <v>0</v>
      </c>
      <c r="Q33" s="657">
        <f t="shared" si="26"/>
        <v>0</v>
      </c>
      <c r="R33" s="430"/>
      <c r="S33" s="430"/>
      <c r="T33" s="659">
        <v>0</v>
      </c>
      <c r="U33" s="659">
        <v>0</v>
      </c>
      <c r="V33" s="659">
        <v>0</v>
      </c>
      <c r="W33" s="659">
        <v>0</v>
      </c>
      <c r="X33" s="659">
        <v>0</v>
      </c>
      <c r="Y33" s="659">
        <v>0</v>
      </c>
      <c r="Z33" s="659">
        <v>0</v>
      </c>
      <c r="AA33" s="659">
        <v>0</v>
      </c>
      <c r="AB33" s="659">
        <v>0</v>
      </c>
      <c r="AC33" s="659">
        <v>0</v>
      </c>
      <c r="AD33" s="659">
        <v>0</v>
      </c>
      <c r="AE33" s="659">
        <v>0</v>
      </c>
      <c r="AH33" s="245"/>
      <c r="AI33" s="236"/>
    </row>
    <row r="34" spans="1:35" ht="12" customHeight="1">
      <c r="A34" s="23"/>
      <c r="B34" s="430"/>
      <c r="C34" s="674"/>
      <c r="D34" s="676"/>
      <c r="E34" s="676"/>
      <c r="F34" s="430"/>
      <c r="G34" s="430"/>
      <c r="H34" s="465" t="str">
        <f t="shared" si="19"/>
        <v/>
      </c>
      <c r="I34" s="430"/>
      <c r="J34" s="430"/>
      <c r="K34" s="677">
        <f t="shared" si="20"/>
        <v>0</v>
      </c>
      <c r="L34" s="651">
        <f t="shared" si="21"/>
        <v>0</v>
      </c>
      <c r="M34" s="465">
        <f t="shared" si="22"/>
        <v>0</v>
      </c>
      <c r="N34" s="657">
        <f t="shared" si="23"/>
        <v>0</v>
      </c>
      <c r="O34" s="448">
        <f t="shared" si="24"/>
        <v>0</v>
      </c>
      <c r="P34" s="657">
        <f t="shared" si="25"/>
        <v>0</v>
      </c>
      <c r="Q34" s="657">
        <f t="shared" si="26"/>
        <v>0</v>
      </c>
      <c r="R34" s="430"/>
      <c r="S34" s="430"/>
      <c r="T34" s="659">
        <v>0</v>
      </c>
      <c r="U34" s="659">
        <v>0</v>
      </c>
      <c r="V34" s="659">
        <v>0</v>
      </c>
      <c r="W34" s="659">
        <v>0</v>
      </c>
      <c r="X34" s="659">
        <v>0</v>
      </c>
      <c r="Y34" s="659">
        <v>0</v>
      </c>
      <c r="Z34" s="659">
        <v>0</v>
      </c>
      <c r="AA34" s="659">
        <v>0</v>
      </c>
      <c r="AB34" s="659">
        <v>0</v>
      </c>
      <c r="AC34" s="659">
        <v>0</v>
      </c>
      <c r="AD34" s="659">
        <v>0</v>
      </c>
      <c r="AE34" s="659">
        <v>0</v>
      </c>
      <c r="AH34" s="245"/>
      <c r="AI34" s="236"/>
    </row>
    <row r="35" spans="1:35" ht="12" customHeight="1">
      <c r="A35" s="23"/>
      <c r="B35" s="430"/>
      <c r="C35" s="674"/>
      <c r="D35" s="676"/>
      <c r="E35" s="676"/>
      <c r="F35" s="430"/>
      <c r="G35" s="430"/>
      <c r="H35" s="465" t="str">
        <f t="shared" si="19"/>
        <v/>
      </c>
      <c r="I35" s="430"/>
      <c r="J35" s="430"/>
      <c r="K35" s="677">
        <f t="shared" si="20"/>
        <v>0</v>
      </c>
      <c r="L35" s="651">
        <f t="shared" si="21"/>
        <v>0</v>
      </c>
      <c r="M35" s="465">
        <f t="shared" si="22"/>
        <v>0</v>
      </c>
      <c r="N35" s="657">
        <f t="shared" si="23"/>
        <v>0</v>
      </c>
      <c r="O35" s="448">
        <f t="shared" si="24"/>
        <v>0</v>
      </c>
      <c r="P35" s="657">
        <f t="shared" si="25"/>
        <v>0</v>
      </c>
      <c r="Q35" s="657">
        <f t="shared" si="26"/>
        <v>0</v>
      </c>
      <c r="R35" s="430"/>
      <c r="S35" s="430"/>
      <c r="T35" s="659">
        <v>0</v>
      </c>
      <c r="U35" s="659">
        <v>0</v>
      </c>
      <c r="V35" s="659">
        <v>0</v>
      </c>
      <c r="W35" s="659">
        <v>0</v>
      </c>
      <c r="X35" s="659">
        <v>0</v>
      </c>
      <c r="Y35" s="659">
        <v>0</v>
      </c>
      <c r="Z35" s="659">
        <v>0</v>
      </c>
      <c r="AA35" s="659">
        <v>0</v>
      </c>
      <c r="AB35" s="659">
        <v>0</v>
      </c>
      <c r="AC35" s="659">
        <v>0</v>
      </c>
      <c r="AD35" s="659">
        <v>0</v>
      </c>
      <c r="AE35" s="659">
        <v>0</v>
      </c>
      <c r="AH35" s="245"/>
      <c r="AI35" s="236"/>
    </row>
    <row r="36" spans="1:35" ht="12" customHeight="1">
      <c r="A36" s="23"/>
      <c r="B36" s="430"/>
      <c r="C36" s="674"/>
      <c r="D36" s="676"/>
      <c r="E36" s="676"/>
      <c r="F36" s="430"/>
      <c r="G36" s="430"/>
      <c r="H36" s="465" t="str">
        <f t="shared" si="19"/>
        <v/>
      </c>
      <c r="I36" s="430"/>
      <c r="J36" s="430"/>
      <c r="K36" s="677">
        <f t="shared" si="20"/>
        <v>0</v>
      </c>
      <c r="L36" s="651">
        <f t="shared" si="21"/>
        <v>0</v>
      </c>
      <c r="M36" s="465">
        <f t="shared" si="22"/>
        <v>0</v>
      </c>
      <c r="N36" s="657">
        <f t="shared" si="23"/>
        <v>0</v>
      </c>
      <c r="O36" s="448">
        <f t="shared" si="24"/>
        <v>0</v>
      </c>
      <c r="P36" s="657">
        <f t="shared" si="25"/>
        <v>0</v>
      </c>
      <c r="Q36" s="657">
        <f t="shared" si="26"/>
        <v>0</v>
      </c>
      <c r="R36" s="430"/>
      <c r="S36" s="430"/>
      <c r="T36" s="659">
        <v>0</v>
      </c>
      <c r="U36" s="659">
        <v>0</v>
      </c>
      <c r="V36" s="659">
        <v>0</v>
      </c>
      <c r="W36" s="659">
        <v>0</v>
      </c>
      <c r="X36" s="659">
        <v>0</v>
      </c>
      <c r="Y36" s="659">
        <v>0</v>
      </c>
      <c r="Z36" s="659">
        <v>0</v>
      </c>
      <c r="AA36" s="659">
        <v>0</v>
      </c>
      <c r="AB36" s="659">
        <v>0</v>
      </c>
      <c r="AC36" s="659">
        <v>0</v>
      </c>
      <c r="AD36" s="659">
        <v>0</v>
      </c>
      <c r="AE36" s="659">
        <v>0</v>
      </c>
      <c r="AH36" s="245"/>
      <c r="AI36" s="236"/>
    </row>
    <row r="37" spans="1:35" ht="12" customHeight="1">
      <c r="A37" s="23"/>
      <c r="B37" s="430"/>
      <c r="C37" s="674"/>
      <c r="D37" s="676"/>
      <c r="E37" s="676"/>
      <c r="F37" s="430"/>
      <c r="G37" s="430"/>
      <c r="H37" s="465" t="str">
        <f t="shared" si="19"/>
        <v/>
      </c>
      <c r="I37" s="430"/>
      <c r="J37" s="430"/>
      <c r="K37" s="677">
        <f t="shared" si="20"/>
        <v>0</v>
      </c>
      <c r="L37" s="651">
        <f t="shared" si="21"/>
        <v>0</v>
      </c>
      <c r="M37" s="465">
        <f t="shared" si="22"/>
        <v>0</v>
      </c>
      <c r="N37" s="657">
        <f t="shared" si="23"/>
        <v>0</v>
      </c>
      <c r="O37" s="448">
        <f t="shared" si="24"/>
        <v>0</v>
      </c>
      <c r="P37" s="657">
        <f t="shared" si="25"/>
        <v>0</v>
      </c>
      <c r="Q37" s="657">
        <f t="shared" si="26"/>
        <v>0</v>
      </c>
      <c r="R37" s="430"/>
      <c r="S37" s="430"/>
      <c r="T37" s="659">
        <v>0</v>
      </c>
      <c r="U37" s="659">
        <v>0</v>
      </c>
      <c r="V37" s="659">
        <v>0</v>
      </c>
      <c r="W37" s="659">
        <v>0</v>
      </c>
      <c r="X37" s="659">
        <v>0</v>
      </c>
      <c r="Y37" s="659">
        <v>0</v>
      </c>
      <c r="Z37" s="659">
        <v>0</v>
      </c>
      <c r="AA37" s="659">
        <v>0</v>
      </c>
      <c r="AB37" s="659">
        <v>0</v>
      </c>
      <c r="AC37" s="659">
        <v>0</v>
      </c>
      <c r="AD37" s="659">
        <v>0</v>
      </c>
      <c r="AE37" s="659">
        <v>0</v>
      </c>
      <c r="AH37" s="245"/>
      <c r="AI37" s="236"/>
    </row>
    <row r="38" spans="1:35" ht="12" customHeight="1">
      <c r="A38" s="23"/>
      <c r="B38" s="430"/>
      <c r="C38" s="674"/>
      <c r="D38" s="676"/>
      <c r="E38" s="676"/>
      <c r="F38" s="430"/>
      <c r="G38" s="430"/>
      <c r="H38" s="465" t="str">
        <f t="shared" si="19"/>
        <v/>
      </c>
      <c r="I38" s="430"/>
      <c r="J38" s="430"/>
      <c r="K38" s="677">
        <f t="shared" si="20"/>
        <v>0</v>
      </c>
      <c r="L38" s="651">
        <f t="shared" si="21"/>
        <v>0</v>
      </c>
      <c r="M38" s="465">
        <f t="shared" si="22"/>
        <v>0</v>
      </c>
      <c r="N38" s="657">
        <f t="shared" si="23"/>
        <v>0</v>
      </c>
      <c r="O38" s="448">
        <f t="shared" si="24"/>
        <v>0</v>
      </c>
      <c r="P38" s="657">
        <f t="shared" si="25"/>
        <v>0</v>
      </c>
      <c r="Q38" s="657">
        <f t="shared" si="26"/>
        <v>0</v>
      </c>
      <c r="R38" s="430"/>
      <c r="S38" s="430"/>
      <c r="T38" s="659">
        <v>0</v>
      </c>
      <c r="U38" s="659">
        <v>0</v>
      </c>
      <c r="V38" s="659">
        <v>0</v>
      </c>
      <c r="W38" s="659">
        <v>0</v>
      </c>
      <c r="X38" s="659">
        <v>0</v>
      </c>
      <c r="Y38" s="659">
        <v>0</v>
      </c>
      <c r="Z38" s="659">
        <v>0</v>
      </c>
      <c r="AA38" s="659">
        <v>0</v>
      </c>
      <c r="AB38" s="659">
        <v>0</v>
      </c>
      <c r="AC38" s="659">
        <v>0</v>
      </c>
      <c r="AD38" s="659">
        <v>0</v>
      </c>
      <c r="AE38" s="659">
        <v>0</v>
      </c>
      <c r="AH38" s="245"/>
      <c r="AI38" s="236"/>
    </row>
    <row r="39" spans="1:35" ht="12" customHeight="1">
      <c r="A39" s="23"/>
      <c r="B39" s="645"/>
      <c r="D39" s="670"/>
      <c r="E39" s="660" t="s">
        <v>443</v>
      </c>
      <c r="F39" s="661"/>
      <c r="G39" s="662"/>
      <c r="H39" s="662"/>
      <c r="I39" s="662"/>
      <c r="J39" s="662"/>
      <c r="K39" s="663">
        <f>SUMPRODUCT(B30:B38, K30:K38)</f>
        <v>0</v>
      </c>
      <c r="L39" s="664">
        <f t="shared" ref="L39:Q39" si="27">SUM(L30:L38)</f>
        <v>0</v>
      </c>
      <c r="M39" s="664">
        <f t="shared" si="27"/>
        <v>0</v>
      </c>
      <c r="N39" s="665">
        <f t="shared" si="27"/>
        <v>0</v>
      </c>
      <c r="O39" s="671">
        <f t="shared" si="27"/>
        <v>0</v>
      </c>
      <c r="P39" s="665">
        <f t="shared" si="27"/>
        <v>0</v>
      </c>
      <c r="Q39" s="665">
        <f t="shared" si="27"/>
        <v>0</v>
      </c>
      <c r="R39" s="679"/>
      <c r="S39" s="679"/>
      <c r="T39" s="680"/>
      <c r="U39" s="680"/>
      <c r="V39" s="680"/>
      <c r="W39" s="680"/>
      <c r="X39" s="680"/>
      <c r="Y39" s="680"/>
      <c r="Z39" s="246"/>
      <c r="AA39" s="246"/>
      <c r="AB39" s="246"/>
      <c r="AC39" s="246"/>
      <c r="AD39" s="246"/>
      <c r="AE39" s="246"/>
      <c r="AH39" s="247"/>
      <c r="AI39" s="236"/>
    </row>
    <row r="40" spans="1:35" ht="12" customHeight="1">
      <c r="A40" s="23"/>
      <c r="B40" s="645" t="s">
        <v>154</v>
      </c>
      <c r="D40" s="670"/>
      <c r="E40" s="670"/>
      <c r="K40" s="299"/>
      <c r="L40" s="299"/>
      <c r="M40" s="672"/>
      <c r="O40" s="681"/>
      <c r="R40" s="299"/>
      <c r="S40" s="299"/>
      <c r="T40" s="682"/>
      <c r="U40" s="682"/>
      <c r="V40" s="682"/>
      <c r="W40" s="682"/>
      <c r="X40" s="682"/>
      <c r="Y40" s="682"/>
      <c r="Z40" s="248"/>
      <c r="AA40" s="248"/>
      <c r="AB40" s="248"/>
      <c r="AC40" s="248"/>
      <c r="AD40" s="248"/>
      <c r="AE40" s="248"/>
      <c r="AH40" s="243"/>
      <c r="AI40" s="236"/>
    </row>
    <row r="41" spans="1:35" ht="24" customHeight="1">
      <c r="A41" s="37"/>
      <c r="B41" s="1289" t="s">
        <v>419</v>
      </c>
      <c r="C41" s="1289" t="s">
        <v>424</v>
      </c>
      <c r="D41" s="1289" t="s">
        <v>425</v>
      </c>
      <c r="E41" s="1289" t="s">
        <v>426</v>
      </c>
      <c r="F41" s="1291" t="s">
        <v>429</v>
      </c>
      <c r="G41" s="1291" t="s">
        <v>434</v>
      </c>
      <c r="H41" s="1291" t="s">
        <v>435</v>
      </c>
      <c r="I41" s="1286" t="s">
        <v>885</v>
      </c>
      <c r="J41" s="1286" t="s">
        <v>884</v>
      </c>
      <c r="K41" s="1292" t="s">
        <v>436</v>
      </c>
      <c r="L41" s="1287" t="s">
        <v>890</v>
      </c>
      <c r="M41" s="1288" t="s">
        <v>892</v>
      </c>
      <c r="N41" s="1289" t="s">
        <v>437</v>
      </c>
      <c r="O41" s="1290" t="s">
        <v>893</v>
      </c>
      <c r="P41" s="1289" t="s">
        <v>438</v>
      </c>
      <c r="Q41" s="1289" t="s">
        <v>439</v>
      </c>
      <c r="R41" s="1287" t="s">
        <v>889</v>
      </c>
      <c r="S41" s="1287" t="s">
        <v>894</v>
      </c>
      <c r="T41" s="1482" t="s">
        <v>440</v>
      </c>
      <c r="U41" s="1483"/>
      <c r="V41" s="1483"/>
      <c r="W41" s="1483"/>
      <c r="X41" s="1483"/>
      <c r="Y41" s="1483"/>
      <c r="Z41" s="1483"/>
      <c r="AA41" s="1483"/>
      <c r="AB41" s="1483"/>
      <c r="AC41" s="1483"/>
      <c r="AD41" s="1483"/>
      <c r="AE41" s="1484"/>
      <c r="AH41" s="244"/>
      <c r="AI41" s="236"/>
    </row>
    <row r="42" spans="1:35" ht="12" customHeight="1">
      <c r="A42" s="23"/>
      <c r="B42" s="441"/>
      <c r="C42" s="353"/>
      <c r="D42" s="649"/>
      <c r="E42" s="649"/>
      <c r="F42" s="650"/>
      <c r="G42" s="650"/>
      <c r="H42" s="651"/>
      <c r="I42" s="650"/>
      <c r="J42" s="650"/>
      <c r="K42" s="650"/>
      <c r="L42" s="651"/>
      <c r="M42" s="651"/>
      <c r="N42" s="652"/>
      <c r="O42" s="653"/>
      <c r="P42" s="652"/>
      <c r="Q42" s="652"/>
      <c r="R42" s="651"/>
      <c r="S42" s="651"/>
      <c r="T42" s="654">
        <v>1</v>
      </c>
      <c r="U42" s="654">
        <v>2</v>
      </c>
      <c r="V42" s="654">
        <v>3</v>
      </c>
      <c r="W42" s="654">
        <v>4</v>
      </c>
      <c r="X42" s="654">
        <v>5</v>
      </c>
      <c r="Y42" s="654">
        <v>6</v>
      </c>
      <c r="Z42" s="237">
        <v>7</v>
      </c>
      <c r="AA42" s="237">
        <v>8</v>
      </c>
      <c r="AB42" s="237">
        <v>9</v>
      </c>
      <c r="AC42" s="237">
        <v>10</v>
      </c>
      <c r="AD42" s="237">
        <v>11</v>
      </c>
      <c r="AE42" s="237">
        <v>12</v>
      </c>
      <c r="AH42" s="245"/>
      <c r="AI42" s="236"/>
    </row>
    <row r="43" spans="1:35" ht="12" customHeight="1">
      <c r="A43" s="23"/>
      <c r="B43" s="430"/>
      <c r="C43" s="674"/>
      <c r="D43" s="676"/>
      <c r="E43" s="676"/>
      <c r="F43" s="430"/>
      <c r="G43" s="430"/>
      <c r="H43" s="465" t="str">
        <f t="shared" ref="H43:H48" si="28">IF(G43=0, "", K43/G43)</f>
        <v/>
      </c>
      <c r="I43" s="430"/>
      <c r="J43" s="430"/>
      <c r="K43" s="677">
        <f>J43*B43</f>
        <v>0</v>
      </c>
      <c r="L43" s="651">
        <f t="shared" ref="L43:L48" si="29">K43/1000</f>
        <v>0</v>
      </c>
      <c r="M43" s="465">
        <f t="shared" ref="M43:M48" si="30">R43*L43</f>
        <v>0</v>
      </c>
      <c r="N43" s="657">
        <f t="shared" ref="N43:N48" si="31">M43*$H$3</f>
        <v>0</v>
      </c>
      <c r="O43" s="448">
        <f t="shared" ref="O43:O48" si="32">M43*30</f>
        <v>0</v>
      </c>
      <c r="P43" s="657">
        <f t="shared" ref="P43:P48" si="33">O43*$H$3</f>
        <v>0</v>
      </c>
      <c r="Q43" s="657">
        <f t="shared" ref="Q43:Q48" si="34">P43*SUM(T43:AE43)</f>
        <v>0</v>
      </c>
      <c r="R43" s="430"/>
      <c r="S43" s="430"/>
      <c r="T43" s="659">
        <v>0</v>
      </c>
      <c r="U43" s="659">
        <v>0</v>
      </c>
      <c r="V43" s="659">
        <v>0</v>
      </c>
      <c r="W43" s="659">
        <v>0</v>
      </c>
      <c r="X43" s="659">
        <v>0</v>
      </c>
      <c r="Y43" s="659">
        <v>0</v>
      </c>
      <c r="Z43" s="659">
        <v>0</v>
      </c>
      <c r="AA43" s="659">
        <v>0</v>
      </c>
      <c r="AB43" s="659">
        <v>0</v>
      </c>
      <c r="AC43" s="659">
        <v>0</v>
      </c>
      <c r="AD43" s="659">
        <v>0</v>
      </c>
      <c r="AE43" s="659">
        <v>0</v>
      </c>
      <c r="AH43" s="245"/>
      <c r="AI43" s="236"/>
    </row>
    <row r="44" spans="1:35" ht="12" customHeight="1">
      <c r="A44" s="23"/>
      <c r="B44" s="430"/>
      <c r="C44" s="674"/>
      <c r="D44" s="676"/>
      <c r="E44" s="676"/>
      <c r="F44" s="430"/>
      <c r="G44" s="430"/>
      <c r="H44" s="465" t="str">
        <f t="shared" si="28"/>
        <v/>
      </c>
      <c r="I44" s="430"/>
      <c r="J44" s="430"/>
      <c r="K44" s="677">
        <f>J44*B44</f>
        <v>0</v>
      </c>
      <c r="L44" s="651">
        <f t="shared" si="29"/>
        <v>0</v>
      </c>
      <c r="M44" s="465">
        <f t="shared" si="30"/>
        <v>0</v>
      </c>
      <c r="N44" s="657">
        <f t="shared" si="31"/>
        <v>0</v>
      </c>
      <c r="O44" s="448">
        <f t="shared" si="32"/>
        <v>0</v>
      </c>
      <c r="P44" s="657">
        <f t="shared" si="33"/>
        <v>0</v>
      </c>
      <c r="Q44" s="657">
        <f t="shared" si="34"/>
        <v>0</v>
      </c>
      <c r="R44" s="430"/>
      <c r="S44" s="430"/>
      <c r="T44" s="659">
        <v>0</v>
      </c>
      <c r="U44" s="659">
        <v>0</v>
      </c>
      <c r="V44" s="659">
        <v>0</v>
      </c>
      <c r="W44" s="659">
        <v>0</v>
      </c>
      <c r="X44" s="659">
        <v>0</v>
      </c>
      <c r="Y44" s="659">
        <v>0</v>
      </c>
      <c r="Z44" s="659">
        <v>0</v>
      </c>
      <c r="AA44" s="659">
        <v>0</v>
      </c>
      <c r="AB44" s="659">
        <v>0</v>
      </c>
      <c r="AC44" s="659">
        <v>0</v>
      </c>
      <c r="AD44" s="659">
        <v>0</v>
      </c>
      <c r="AE44" s="659">
        <v>0</v>
      </c>
      <c r="AH44" s="245"/>
      <c r="AI44" s="236"/>
    </row>
    <row r="45" spans="1:35" ht="12" customHeight="1">
      <c r="A45" s="23"/>
      <c r="B45" s="430"/>
      <c r="C45" s="674"/>
      <c r="D45" s="676"/>
      <c r="E45" s="676"/>
      <c r="F45" s="430"/>
      <c r="G45" s="430"/>
      <c r="H45" s="465" t="str">
        <f t="shared" si="28"/>
        <v/>
      </c>
      <c r="I45" s="430"/>
      <c r="J45" s="430"/>
      <c r="K45" s="677">
        <f>J45*B45</f>
        <v>0</v>
      </c>
      <c r="L45" s="651">
        <f t="shared" si="29"/>
        <v>0</v>
      </c>
      <c r="M45" s="465">
        <f t="shared" si="30"/>
        <v>0</v>
      </c>
      <c r="N45" s="657">
        <f t="shared" si="31"/>
        <v>0</v>
      </c>
      <c r="O45" s="448">
        <f t="shared" si="32"/>
        <v>0</v>
      </c>
      <c r="P45" s="657">
        <f t="shared" si="33"/>
        <v>0</v>
      </c>
      <c r="Q45" s="657">
        <f t="shared" si="34"/>
        <v>0</v>
      </c>
      <c r="R45" s="430"/>
      <c r="S45" s="430"/>
      <c r="T45" s="659">
        <v>0</v>
      </c>
      <c r="U45" s="659">
        <v>0</v>
      </c>
      <c r="V45" s="659">
        <v>0</v>
      </c>
      <c r="W45" s="659">
        <v>0</v>
      </c>
      <c r="X45" s="659">
        <v>0</v>
      </c>
      <c r="Y45" s="659">
        <v>0</v>
      </c>
      <c r="Z45" s="659">
        <v>0</v>
      </c>
      <c r="AA45" s="659">
        <v>0</v>
      </c>
      <c r="AB45" s="659">
        <v>0</v>
      </c>
      <c r="AC45" s="659">
        <v>0</v>
      </c>
      <c r="AD45" s="659">
        <v>0</v>
      </c>
      <c r="AE45" s="659">
        <v>0</v>
      </c>
      <c r="AH45" s="245"/>
      <c r="AI45" s="236"/>
    </row>
    <row r="46" spans="1:35" ht="12" customHeight="1">
      <c r="A46" s="23"/>
      <c r="B46" s="430"/>
      <c r="C46" s="674"/>
      <c r="D46" s="676"/>
      <c r="E46" s="676"/>
      <c r="F46" s="430"/>
      <c r="G46" s="430"/>
      <c r="H46" s="465" t="str">
        <f t="shared" si="28"/>
        <v/>
      </c>
      <c r="I46" s="430"/>
      <c r="J46" s="430"/>
      <c r="K46" s="677">
        <f>J46*B46</f>
        <v>0</v>
      </c>
      <c r="L46" s="651">
        <f t="shared" si="29"/>
        <v>0</v>
      </c>
      <c r="M46" s="465">
        <f t="shared" si="30"/>
        <v>0</v>
      </c>
      <c r="N46" s="657">
        <f t="shared" si="31"/>
        <v>0</v>
      </c>
      <c r="O46" s="448">
        <f t="shared" si="32"/>
        <v>0</v>
      </c>
      <c r="P46" s="657">
        <f t="shared" si="33"/>
        <v>0</v>
      </c>
      <c r="Q46" s="657">
        <f t="shared" si="34"/>
        <v>0</v>
      </c>
      <c r="R46" s="430"/>
      <c r="S46" s="430"/>
      <c r="T46" s="659">
        <v>0</v>
      </c>
      <c r="U46" s="659">
        <v>0</v>
      </c>
      <c r="V46" s="659">
        <v>0</v>
      </c>
      <c r="W46" s="659">
        <v>0</v>
      </c>
      <c r="X46" s="659">
        <v>0</v>
      </c>
      <c r="Y46" s="659">
        <v>0</v>
      </c>
      <c r="Z46" s="659">
        <v>0</v>
      </c>
      <c r="AA46" s="659">
        <v>0</v>
      </c>
      <c r="AB46" s="659">
        <v>0</v>
      </c>
      <c r="AC46" s="659">
        <v>0</v>
      </c>
      <c r="AD46" s="659">
        <v>0</v>
      </c>
      <c r="AE46" s="659">
        <v>0</v>
      </c>
      <c r="AH46" s="245"/>
      <c r="AI46" s="236"/>
    </row>
    <row r="47" spans="1:35" ht="12" customHeight="1">
      <c r="A47" s="23"/>
      <c r="B47" s="430"/>
      <c r="C47" s="429"/>
      <c r="D47" s="676"/>
      <c r="E47" s="676"/>
      <c r="F47" s="430"/>
      <c r="G47" s="430"/>
      <c r="H47" s="683" t="str">
        <f t="shared" si="28"/>
        <v/>
      </c>
      <c r="I47" s="430"/>
      <c r="J47" s="430"/>
      <c r="K47" s="677">
        <f>J47*B47</f>
        <v>0</v>
      </c>
      <c r="L47" s="651">
        <f t="shared" si="29"/>
        <v>0</v>
      </c>
      <c r="M47" s="465">
        <f t="shared" si="30"/>
        <v>0</v>
      </c>
      <c r="N47" s="657">
        <f t="shared" si="31"/>
        <v>0</v>
      </c>
      <c r="O47" s="448">
        <f t="shared" si="32"/>
        <v>0</v>
      </c>
      <c r="P47" s="657">
        <f t="shared" si="33"/>
        <v>0</v>
      </c>
      <c r="Q47" s="657">
        <f t="shared" si="34"/>
        <v>0</v>
      </c>
      <c r="R47" s="430"/>
      <c r="S47" s="430"/>
      <c r="T47" s="659">
        <v>0</v>
      </c>
      <c r="U47" s="659">
        <v>0</v>
      </c>
      <c r="V47" s="659">
        <v>0</v>
      </c>
      <c r="W47" s="659">
        <v>0</v>
      </c>
      <c r="X47" s="659">
        <v>0</v>
      </c>
      <c r="Y47" s="659">
        <v>0</v>
      </c>
      <c r="Z47" s="659">
        <v>0</v>
      </c>
      <c r="AA47" s="659">
        <v>0</v>
      </c>
      <c r="AB47" s="659">
        <v>0</v>
      </c>
      <c r="AC47" s="659">
        <v>0</v>
      </c>
      <c r="AD47" s="659">
        <v>0</v>
      </c>
      <c r="AE47" s="659">
        <v>0</v>
      </c>
      <c r="AH47" s="245"/>
      <c r="AI47" s="236"/>
    </row>
    <row r="48" spans="1:35" ht="12" customHeight="1">
      <c r="A48" s="23"/>
      <c r="B48" s="430"/>
      <c r="C48" s="429"/>
      <c r="D48" s="676"/>
      <c r="E48" s="676"/>
      <c r="F48" s="430"/>
      <c r="G48" s="430"/>
      <c r="H48" s="683" t="str">
        <f t="shared" si="28"/>
        <v/>
      </c>
      <c r="I48" s="430"/>
      <c r="J48" s="430"/>
      <c r="K48" s="677">
        <v>48</v>
      </c>
      <c r="L48" s="651">
        <f t="shared" si="29"/>
        <v>4.8000000000000001E-2</v>
      </c>
      <c r="M48" s="465">
        <f t="shared" si="30"/>
        <v>0</v>
      </c>
      <c r="N48" s="657">
        <f t="shared" si="31"/>
        <v>0</v>
      </c>
      <c r="O48" s="448">
        <f t="shared" si="32"/>
        <v>0</v>
      </c>
      <c r="P48" s="657">
        <f t="shared" si="33"/>
        <v>0</v>
      </c>
      <c r="Q48" s="657">
        <f t="shared" si="34"/>
        <v>0</v>
      </c>
      <c r="R48" s="430"/>
      <c r="S48" s="430"/>
      <c r="T48" s="659">
        <v>0</v>
      </c>
      <c r="U48" s="659">
        <v>0</v>
      </c>
      <c r="V48" s="659">
        <v>0</v>
      </c>
      <c r="W48" s="659">
        <v>0</v>
      </c>
      <c r="X48" s="659">
        <v>0</v>
      </c>
      <c r="Y48" s="659">
        <v>0</v>
      </c>
      <c r="Z48" s="659">
        <v>0</v>
      </c>
      <c r="AA48" s="659">
        <v>0</v>
      </c>
      <c r="AB48" s="659">
        <v>0</v>
      </c>
      <c r="AC48" s="659">
        <v>0</v>
      </c>
      <c r="AD48" s="659">
        <v>0</v>
      </c>
      <c r="AE48" s="659">
        <v>0</v>
      </c>
      <c r="AH48" s="245"/>
      <c r="AI48" s="236"/>
    </row>
    <row r="49" spans="1:45" ht="24" customHeight="1">
      <c r="A49" s="23"/>
      <c r="B49" s="684"/>
      <c r="C49" s="684"/>
      <c r="D49" s="685"/>
      <c r="E49" s="660" t="s">
        <v>443</v>
      </c>
      <c r="F49" s="661"/>
      <c r="G49" s="662"/>
      <c r="H49" s="663"/>
      <c r="I49" s="663"/>
      <c r="J49" s="663"/>
      <c r="K49" s="664">
        <f t="shared" ref="K49:Q49" si="35">SUM(K42:K48)</f>
        <v>48</v>
      </c>
      <c r="L49" s="664">
        <f t="shared" si="35"/>
        <v>4.8000000000000001E-2</v>
      </c>
      <c r="M49" s="664">
        <f t="shared" si="35"/>
        <v>0</v>
      </c>
      <c r="N49" s="686">
        <f t="shared" si="35"/>
        <v>0</v>
      </c>
      <c r="O49" s="664">
        <f t="shared" si="35"/>
        <v>0</v>
      </c>
      <c r="P49" s="686">
        <f t="shared" si="35"/>
        <v>0</v>
      </c>
      <c r="Q49" s="686">
        <f t="shared" si="35"/>
        <v>0</v>
      </c>
      <c r="R49" s="669"/>
      <c r="S49" s="669"/>
      <c r="T49" s="663"/>
      <c r="U49" s="663"/>
      <c r="V49" s="663"/>
      <c r="W49" s="663"/>
      <c r="X49" s="663"/>
      <c r="Y49" s="663"/>
      <c r="Z49" s="238"/>
      <c r="AA49" s="238"/>
      <c r="AB49" s="238"/>
      <c r="AC49" s="238"/>
      <c r="AD49" s="238"/>
      <c r="AE49" s="238"/>
      <c r="AH49" s="247"/>
      <c r="AI49" s="236"/>
    </row>
    <row r="50" spans="1:45" ht="12" customHeight="1">
      <c r="A50" s="23"/>
      <c r="B50" s="687" t="s">
        <v>530</v>
      </c>
      <c r="C50" s="595"/>
      <c r="D50" s="688"/>
      <c r="E50" s="670"/>
      <c r="M50" s="672"/>
      <c r="O50" s="681"/>
      <c r="T50" s="682"/>
      <c r="U50" s="682"/>
      <c r="V50" s="682"/>
      <c r="W50" s="682"/>
      <c r="X50" s="682"/>
      <c r="Y50" s="682"/>
      <c r="Z50" s="248"/>
      <c r="AA50" s="248"/>
      <c r="AB50" s="248"/>
      <c r="AC50" s="248"/>
      <c r="AD50" s="248"/>
      <c r="AE50" s="248"/>
      <c r="AH50" s="243"/>
      <c r="AI50" s="236"/>
    </row>
    <row r="51" spans="1:45" ht="24" customHeight="1">
      <c r="A51" s="37"/>
      <c r="B51" s="1289" t="s">
        <v>419</v>
      </c>
      <c r="C51" s="1289" t="s">
        <v>424</v>
      </c>
      <c r="D51" s="1289" t="s">
        <v>425</v>
      </c>
      <c r="E51" s="1289" t="s">
        <v>426</v>
      </c>
      <c r="F51" s="1291" t="s">
        <v>429</v>
      </c>
      <c r="G51" s="1291" t="s">
        <v>434</v>
      </c>
      <c r="H51" s="1291" t="s">
        <v>435</v>
      </c>
      <c r="I51" s="1286" t="s">
        <v>885</v>
      </c>
      <c r="J51" s="1286" t="s">
        <v>884</v>
      </c>
      <c r="K51" s="1292" t="s">
        <v>436</v>
      </c>
      <c r="L51" s="1287" t="s">
        <v>890</v>
      </c>
      <c r="M51" s="1288" t="s">
        <v>892</v>
      </c>
      <c r="N51" s="1289" t="s">
        <v>437</v>
      </c>
      <c r="O51" s="1290" t="s">
        <v>893</v>
      </c>
      <c r="P51" s="1289" t="s">
        <v>438</v>
      </c>
      <c r="Q51" s="1289" t="s">
        <v>439</v>
      </c>
      <c r="R51" s="1287" t="s">
        <v>889</v>
      </c>
      <c r="S51" s="1287" t="s">
        <v>894</v>
      </c>
      <c r="T51" s="1482" t="s">
        <v>440</v>
      </c>
      <c r="U51" s="1483"/>
      <c r="V51" s="1483"/>
      <c r="W51" s="1483"/>
      <c r="X51" s="1483"/>
      <c r="Y51" s="1483"/>
      <c r="Z51" s="1483"/>
      <c r="AA51" s="1483"/>
      <c r="AB51" s="1483"/>
      <c r="AC51" s="1483"/>
      <c r="AD51" s="1483"/>
      <c r="AE51" s="1484"/>
      <c r="AH51" s="244"/>
      <c r="AI51" s="236"/>
    </row>
    <row r="52" spans="1:45" ht="12" customHeight="1">
      <c r="A52" s="23"/>
      <c r="B52" s="441"/>
      <c r="C52" s="353"/>
      <c r="D52" s="649"/>
      <c r="E52" s="649"/>
      <c r="F52" s="650"/>
      <c r="G52" s="650"/>
      <c r="H52" s="651"/>
      <c r="I52" s="650"/>
      <c r="J52" s="650"/>
      <c r="K52" s="650"/>
      <c r="L52" s="651"/>
      <c r="M52" s="651"/>
      <c r="N52" s="652"/>
      <c r="O52" s="653"/>
      <c r="P52" s="652"/>
      <c r="Q52" s="652"/>
      <c r="R52" s="651"/>
      <c r="S52" s="651"/>
      <c r="T52" s="654">
        <v>1</v>
      </c>
      <c r="U52" s="654">
        <v>2</v>
      </c>
      <c r="V52" s="654">
        <v>3</v>
      </c>
      <c r="W52" s="654">
        <v>4</v>
      </c>
      <c r="X52" s="654">
        <v>5</v>
      </c>
      <c r="Y52" s="654">
        <v>6</v>
      </c>
      <c r="Z52" s="237">
        <v>7</v>
      </c>
      <c r="AA52" s="237">
        <v>8</v>
      </c>
      <c r="AB52" s="237">
        <v>9</v>
      </c>
      <c r="AC52" s="237">
        <v>10</v>
      </c>
      <c r="AD52" s="237">
        <v>11</v>
      </c>
      <c r="AE52" s="237">
        <v>12</v>
      </c>
      <c r="AH52" s="245"/>
      <c r="AI52" s="236"/>
    </row>
    <row r="53" spans="1:45" ht="12" customHeight="1">
      <c r="A53" s="23"/>
      <c r="B53" s="430"/>
      <c r="C53" s="674"/>
      <c r="D53" s="676"/>
      <c r="E53" s="676"/>
      <c r="F53" s="430"/>
      <c r="G53" s="430"/>
      <c r="H53" s="465" t="str">
        <f>IF(G53=0, "", K53/G53)</f>
        <v/>
      </c>
      <c r="I53" s="430"/>
      <c r="J53" s="430"/>
      <c r="K53" s="677">
        <f>J53*B53</f>
        <v>0</v>
      </c>
      <c r="L53" s="651">
        <f>K53/1000</f>
        <v>0</v>
      </c>
      <c r="M53" s="465">
        <f>R53*L53</f>
        <v>0</v>
      </c>
      <c r="N53" s="657">
        <f>M53*$H$3</f>
        <v>0</v>
      </c>
      <c r="O53" s="448">
        <f>M53*30</f>
        <v>0</v>
      </c>
      <c r="P53" s="657">
        <f>O53*$H$3</f>
        <v>0</v>
      </c>
      <c r="Q53" s="657">
        <f>P53*SUM(T53:AE53)</f>
        <v>0</v>
      </c>
      <c r="R53" s="430"/>
      <c r="S53" s="430"/>
      <c r="T53" s="659">
        <v>0</v>
      </c>
      <c r="U53" s="659">
        <v>0</v>
      </c>
      <c r="V53" s="659">
        <v>0</v>
      </c>
      <c r="W53" s="659">
        <v>0</v>
      </c>
      <c r="X53" s="659">
        <v>0</v>
      </c>
      <c r="Y53" s="659">
        <v>0</v>
      </c>
      <c r="Z53" s="659">
        <v>0</v>
      </c>
      <c r="AA53" s="659">
        <v>0</v>
      </c>
      <c r="AB53" s="659">
        <v>0</v>
      </c>
      <c r="AC53" s="659">
        <v>0</v>
      </c>
      <c r="AD53" s="659">
        <v>0</v>
      </c>
      <c r="AE53" s="659">
        <v>0</v>
      </c>
      <c r="AH53" s="245"/>
      <c r="AI53" s="236"/>
    </row>
    <row r="54" spans="1:45" ht="12" customHeight="1">
      <c r="A54" s="23"/>
      <c r="B54" s="430"/>
      <c r="C54" s="429"/>
      <c r="D54" s="676"/>
      <c r="E54" s="676"/>
      <c r="F54" s="430"/>
      <c r="G54" s="430"/>
      <c r="H54" s="465" t="str">
        <f>IF(G54=0, "", K54/G54)</f>
        <v/>
      </c>
      <c r="I54" s="430"/>
      <c r="J54" s="430"/>
      <c r="K54" s="677">
        <f>J54*B54</f>
        <v>0</v>
      </c>
      <c r="L54" s="651">
        <f>K54/1000</f>
        <v>0</v>
      </c>
      <c r="M54" s="465">
        <f>R54*L54</f>
        <v>0</v>
      </c>
      <c r="N54" s="657">
        <f>M54*$H$3</f>
        <v>0</v>
      </c>
      <c r="O54" s="448">
        <f>M54*30</f>
        <v>0</v>
      </c>
      <c r="P54" s="657">
        <f>O54*$H$3</f>
        <v>0</v>
      </c>
      <c r="Q54" s="657">
        <f>P54*SUM(T54:AE54)</f>
        <v>0</v>
      </c>
      <c r="R54" s="430"/>
      <c r="S54" s="430"/>
      <c r="T54" s="659">
        <v>0</v>
      </c>
      <c r="U54" s="659">
        <v>0</v>
      </c>
      <c r="V54" s="659">
        <v>0</v>
      </c>
      <c r="W54" s="659">
        <v>0</v>
      </c>
      <c r="X54" s="659">
        <v>0</v>
      </c>
      <c r="Y54" s="659">
        <v>0</v>
      </c>
      <c r="Z54" s="659">
        <v>0</v>
      </c>
      <c r="AA54" s="659">
        <v>0</v>
      </c>
      <c r="AB54" s="659">
        <v>0</v>
      </c>
      <c r="AC54" s="659">
        <v>0</v>
      </c>
      <c r="AD54" s="659">
        <v>0</v>
      </c>
      <c r="AE54" s="659">
        <v>0</v>
      </c>
      <c r="AH54" s="245"/>
      <c r="AI54" s="236"/>
    </row>
    <row r="55" spans="1:45" ht="12" customHeight="1">
      <c r="A55" s="23"/>
      <c r="B55" s="430"/>
      <c r="C55" s="429"/>
      <c r="D55" s="676"/>
      <c r="E55" s="676"/>
      <c r="F55" s="430"/>
      <c r="G55" s="430"/>
      <c r="H55" s="465" t="str">
        <f>IF(G55=0, "", K55/G55)</f>
        <v/>
      </c>
      <c r="I55" s="430"/>
      <c r="J55" s="430"/>
      <c r="K55" s="677">
        <f>J55*B55</f>
        <v>0</v>
      </c>
      <c r="L55" s="651">
        <f>K55/1000</f>
        <v>0</v>
      </c>
      <c r="M55" s="465">
        <f>R55*L55</f>
        <v>0</v>
      </c>
      <c r="N55" s="657">
        <f>M55*$H$3</f>
        <v>0</v>
      </c>
      <c r="O55" s="448">
        <f>M55*30</f>
        <v>0</v>
      </c>
      <c r="P55" s="657">
        <f>O55*$H$3</f>
        <v>0</v>
      </c>
      <c r="Q55" s="657">
        <f>P55*SUM(T55:AE55)</f>
        <v>0</v>
      </c>
      <c r="R55" s="430"/>
      <c r="S55" s="430"/>
      <c r="T55" s="678"/>
      <c r="U55" s="678"/>
      <c r="V55" s="678"/>
      <c r="W55" s="678"/>
      <c r="X55" s="678"/>
      <c r="Y55" s="678"/>
      <c r="Z55" s="249"/>
      <c r="AA55" s="249"/>
      <c r="AB55" s="249"/>
      <c r="AC55" s="249"/>
      <c r="AD55" s="249"/>
      <c r="AE55" s="249"/>
      <c r="AH55" s="245"/>
      <c r="AI55" s="236"/>
    </row>
    <row r="56" spans="1:45" ht="12" customHeight="1">
      <c r="A56" s="23"/>
      <c r="B56" s="430"/>
      <c r="C56" s="429"/>
      <c r="D56" s="676"/>
      <c r="E56" s="676"/>
      <c r="F56" s="430"/>
      <c r="G56" s="430"/>
      <c r="H56" s="465" t="str">
        <f>IF(G56=0, "", K56/G56)</f>
        <v/>
      </c>
      <c r="I56" s="430"/>
      <c r="J56" s="430"/>
      <c r="K56" s="677">
        <f>J56*B56</f>
        <v>0</v>
      </c>
      <c r="L56" s="651">
        <f>K56/1000</f>
        <v>0</v>
      </c>
      <c r="M56" s="465">
        <f>R56*L56</f>
        <v>0</v>
      </c>
      <c r="N56" s="657">
        <f>M56*$H$3</f>
        <v>0</v>
      </c>
      <c r="O56" s="448">
        <f>M56*30</f>
        <v>0</v>
      </c>
      <c r="P56" s="657">
        <f>O56*$H$3</f>
        <v>0</v>
      </c>
      <c r="Q56" s="657">
        <f>P56*SUM(T56:AE56)</f>
        <v>0</v>
      </c>
      <c r="R56" s="430"/>
      <c r="S56" s="430"/>
      <c r="T56" s="678"/>
      <c r="U56" s="678"/>
      <c r="V56" s="678"/>
      <c r="W56" s="678"/>
      <c r="X56" s="678"/>
      <c r="Y56" s="678"/>
      <c r="Z56" s="249"/>
      <c r="AA56" s="249"/>
      <c r="AB56" s="249"/>
      <c r="AC56" s="249"/>
      <c r="AD56" s="249"/>
      <c r="AE56" s="249"/>
      <c r="AH56" s="245"/>
      <c r="AI56" s="236"/>
    </row>
    <row r="57" spans="1:45" ht="12" customHeight="1">
      <c r="A57" s="23"/>
      <c r="B57" s="430"/>
      <c r="C57" s="429"/>
      <c r="D57" s="676"/>
      <c r="E57" s="676"/>
      <c r="F57" s="430"/>
      <c r="G57" s="430"/>
      <c r="H57" s="465" t="str">
        <f>IF(G57=0, "", K57/G57)</f>
        <v/>
      </c>
      <c r="I57" s="430"/>
      <c r="J57" s="430"/>
      <c r="K57" s="677">
        <f>J57*B57</f>
        <v>0</v>
      </c>
      <c r="L57" s="651">
        <f>K57/1000</f>
        <v>0</v>
      </c>
      <c r="M57" s="465">
        <f>R57*L57</f>
        <v>0</v>
      </c>
      <c r="N57" s="657">
        <f>M57*$H$3</f>
        <v>0</v>
      </c>
      <c r="O57" s="448">
        <f>M57*30</f>
        <v>0</v>
      </c>
      <c r="P57" s="657">
        <f>O57*$H$3</f>
        <v>0</v>
      </c>
      <c r="Q57" s="657">
        <f>P57*SUM(T57:AE57)</f>
        <v>0</v>
      </c>
      <c r="R57" s="430"/>
      <c r="S57" s="430"/>
      <c r="T57" s="678"/>
      <c r="U57" s="678"/>
      <c r="V57" s="678"/>
      <c r="W57" s="678"/>
      <c r="X57" s="678"/>
      <c r="Y57" s="678"/>
      <c r="Z57" s="249"/>
      <c r="AA57" s="249"/>
      <c r="AB57" s="249"/>
      <c r="AC57" s="249"/>
      <c r="AD57" s="249"/>
      <c r="AE57" s="249"/>
      <c r="AH57" s="245"/>
      <c r="AI57" s="236"/>
    </row>
    <row r="58" spans="1:45" ht="24" customHeight="1">
      <c r="A58" s="23"/>
      <c r="B58" s="463"/>
      <c r="C58" s="463"/>
      <c r="D58" s="689"/>
      <c r="E58" s="660" t="s">
        <v>443</v>
      </c>
      <c r="F58" s="661"/>
      <c r="G58" s="662"/>
      <c r="H58" s="663"/>
      <c r="I58" s="663"/>
      <c r="J58" s="663"/>
      <c r="K58" s="663">
        <f>SUMPRODUCT(B53:B57, K53:K57)</f>
        <v>0</v>
      </c>
      <c r="L58" s="664">
        <f t="shared" ref="L58:Q58" si="36">SUM(L53:L57)</f>
        <v>0</v>
      </c>
      <c r="M58" s="663">
        <f t="shared" si="36"/>
        <v>0</v>
      </c>
      <c r="N58" s="665">
        <f t="shared" si="36"/>
        <v>0</v>
      </c>
      <c r="O58" s="666">
        <f t="shared" si="36"/>
        <v>0</v>
      </c>
      <c r="P58" s="665">
        <f t="shared" si="36"/>
        <v>0</v>
      </c>
      <c r="Q58" s="665">
        <f t="shared" si="36"/>
        <v>0</v>
      </c>
      <c r="R58" s="669"/>
      <c r="S58" s="669"/>
      <c r="T58" s="663"/>
      <c r="U58" s="663"/>
      <c r="V58" s="663"/>
      <c r="W58" s="663"/>
      <c r="X58" s="663"/>
      <c r="Y58" s="663"/>
      <c r="Z58" s="238"/>
      <c r="AA58" s="238"/>
      <c r="AB58" s="238"/>
      <c r="AC58" s="238"/>
      <c r="AD58" s="238"/>
      <c r="AE58" s="238"/>
      <c r="AH58" s="247"/>
      <c r="AI58" s="236"/>
    </row>
    <row r="59" spans="1:45" ht="12" customHeight="1">
      <c r="A59" s="23"/>
      <c r="B59" s="595"/>
      <c r="C59" s="690"/>
      <c r="D59" s="690"/>
      <c r="E59" s="691"/>
      <c r="F59" s="670"/>
      <c r="O59" s="299"/>
      <c r="AH59" s="240"/>
      <c r="AI59" s="236"/>
    </row>
    <row r="60" spans="1:45" ht="12.3">
      <c r="E60" s="692" t="s">
        <v>900</v>
      </c>
      <c r="F60" s="523"/>
      <c r="G60" s="523"/>
    </row>
    <row r="61" spans="1:45" ht="24.3" customHeight="1">
      <c r="A61" s="23"/>
      <c r="E61" s="693" t="s">
        <v>425</v>
      </c>
      <c r="F61" s="1440" t="str">
        <f>IF('Please Read First'!C11="metric", "Volume in Liters", "Volume in Gallons")</f>
        <v>Volume in Gallons</v>
      </c>
      <c r="G61" s="1440" t="str">
        <f>IF('Please Read First'!C11="metric", "Weight in kg", "Weight in lbs")</f>
        <v>Weight in lbs</v>
      </c>
      <c r="H61" s="1434"/>
      <c r="J61" s="695"/>
      <c r="K61" s="694"/>
      <c r="L61" s="695"/>
      <c r="M61" s="694"/>
      <c r="AQ61" s="224"/>
      <c r="AR61" s="224"/>
      <c r="AS61" s="15"/>
    </row>
    <row r="62" spans="1:45" ht="12" customHeight="1">
      <c r="A62" s="23"/>
      <c r="E62" s="1426" t="s">
        <v>899</v>
      </c>
      <c r="F62" s="1441">
        <f>'Plant &amp; Fish Production'!C60</f>
        <v>4</v>
      </c>
      <c r="G62" s="1442"/>
      <c r="H62" s="1435"/>
      <c r="J62" s="694"/>
      <c r="K62" s="697"/>
      <c r="L62" s="694"/>
      <c r="M62" s="697"/>
      <c r="AQ62" s="224"/>
      <c r="AR62" s="224"/>
      <c r="AS62" s="15"/>
    </row>
    <row r="63" spans="1:45" ht="12" customHeight="1">
      <c r="A63" s="23"/>
      <c r="E63" s="1426" t="s">
        <v>958</v>
      </c>
      <c r="F63" s="1443" t="str">
        <f>'Plant &amp; Fish Production'!C75</f>
        <v/>
      </c>
      <c r="G63" s="1271">
        <f>IF(F63="", 0, IF('Please Read First'!$C$11="metric",'Energy and Water'!F63,'Energy and Water'!F63*8.33))</f>
        <v>0</v>
      </c>
      <c r="H63" s="1434"/>
      <c r="J63" s="695"/>
      <c r="K63" s="694"/>
      <c r="L63" s="694"/>
      <c r="M63" s="694"/>
      <c r="AQ63" s="224"/>
      <c r="AR63" s="224"/>
      <c r="AS63" s="15"/>
    </row>
    <row r="64" spans="1:45" ht="12" customHeight="1">
      <c r="A64" s="23"/>
      <c r="E64" s="1436" t="s">
        <v>746</v>
      </c>
      <c r="F64" s="1444">
        <f>IFERROR(F62*F63, 0)</f>
        <v>0</v>
      </c>
      <c r="G64" s="1271">
        <f>IF('Please Read First'!$C$11="metric", 'Energy and Water'!F64, 'Energy and Water'!F64*8.33)</f>
        <v>0</v>
      </c>
      <c r="H64" s="1435"/>
      <c r="J64" s="694"/>
      <c r="K64" s="369"/>
      <c r="L64" s="694"/>
      <c r="M64" s="369"/>
      <c r="AQ64" s="224"/>
      <c r="AR64" s="224"/>
      <c r="AS64" s="15"/>
    </row>
    <row r="65" spans="1:18" ht="12" customHeight="1">
      <c r="A65" s="23"/>
      <c r="E65" s="1426" t="s">
        <v>898</v>
      </c>
      <c r="F65" s="1445"/>
      <c r="G65" s="1271">
        <f>IF('Please Read First'!$C$11="metric", 'Energy and Water'!F65, 'Energy and Water'!F65*8.33)</f>
        <v>0</v>
      </c>
      <c r="H65" s="1435"/>
      <c r="J65" s="694"/>
      <c r="K65" s="369"/>
      <c r="L65" s="694"/>
      <c r="M65" s="369"/>
    </row>
    <row r="66" spans="1:18" ht="12.3">
      <c r="A66" s="23"/>
      <c r="E66" s="1426" t="s">
        <v>745</v>
      </c>
      <c r="F66" s="1445"/>
      <c r="G66" s="1271">
        <f>IF('Please Read First'!$C$11="metric", 'Energy and Water'!F66, 'Energy and Water'!F66*8.33)</f>
        <v>0</v>
      </c>
      <c r="H66" s="1434"/>
      <c r="J66" s="695"/>
      <c r="K66" s="698"/>
      <c r="L66" s="699"/>
      <c r="M66" s="698"/>
      <c r="O66" s="672"/>
    </row>
    <row r="67" spans="1:18" ht="12.3">
      <c r="A67" s="23"/>
      <c r="E67" s="1437" t="s">
        <v>960</v>
      </c>
      <c r="F67" s="1446">
        <f>SUM(F64:F66)</f>
        <v>0</v>
      </c>
      <c r="G67" s="1447">
        <f>IF('Please Read First'!$C$11="metric", 'Energy and Water'!F67, 'Energy and Water'!F67*8.33)</f>
        <v>0</v>
      </c>
      <c r="H67" s="1435"/>
      <c r="J67" s="694"/>
      <c r="K67" s="700"/>
      <c r="L67" s="694"/>
      <c r="M67" s="694"/>
      <c r="O67" s="672"/>
    </row>
    <row r="68" spans="1:18" ht="12.3">
      <c r="A68" s="23"/>
      <c r="E68" s="1438" t="s">
        <v>531</v>
      </c>
      <c r="F68" s="1445">
        <v>60</v>
      </c>
      <c r="G68" s="1271">
        <f>IF('Please Read First'!$C$11="metric", 'Energy and Water'!F68, 'Energy and Water'!F68*8.33)</f>
        <v>499.8</v>
      </c>
      <c r="H68" s="1435"/>
      <c r="J68" s="694"/>
      <c r="K68" s="697"/>
      <c r="L68" s="694"/>
      <c r="M68" s="697"/>
      <c r="O68" s="672"/>
    </row>
    <row r="69" spans="1:18" ht="12.3">
      <c r="A69" s="23"/>
      <c r="E69" s="1438" t="s">
        <v>532</v>
      </c>
      <c r="F69" s="1445"/>
      <c r="G69" s="1271">
        <f>IF('Please Read First'!$C$11="metric", 'Energy and Water'!F69, 'Energy and Water'!F69*8.33)</f>
        <v>0</v>
      </c>
      <c r="H69" s="1435"/>
      <c r="J69" s="694"/>
      <c r="K69" s="697"/>
      <c r="L69" s="694"/>
      <c r="M69" s="697"/>
      <c r="O69" s="672"/>
    </row>
    <row r="70" spans="1:18" ht="12.3">
      <c r="A70" s="23"/>
      <c r="E70" s="1438" t="s">
        <v>533</v>
      </c>
      <c r="F70" s="1445"/>
      <c r="G70" s="1271">
        <f>IF('Please Read First'!$C$11="metric", 'Energy and Water'!F70, 'Energy and Water'!F70*8.33)</f>
        <v>0</v>
      </c>
      <c r="H70" s="1434"/>
      <c r="J70" s="695"/>
      <c r="K70" s="694"/>
      <c r="L70" s="694"/>
      <c r="M70" s="694"/>
      <c r="O70" s="672"/>
    </row>
    <row r="71" spans="1:18" ht="12.3">
      <c r="A71" s="23"/>
      <c r="E71" s="1426" t="s">
        <v>747</v>
      </c>
      <c r="F71" s="1443">
        <f>IF('Please Read First'!C11="metric", (('Plant &amp; Fish Production'!C52*10000)*'Plant &amp; Fish Production'!C53)/1000,  ('Plant &amp; Fish Production'!C52*144*'Plant &amp; Fish Production'!C53)/1728*7.48)</f>
        <v>0</v>
      </c>
      <c r="G71" s="1271">
        <f>IF('Please Read First'!$C$11="metric", 'Energy and Water'!F71, 'Energy and Water'!F71*8.33)</f>
        <v>0</v>
      </c>
      <c r="H71" s="1435"/>
      <c r="J71" s="694"/>
      <c r="K71" s="369"/>
      <c r="L71" s="694"/>
      <c r="M71" s="369"/>
      <c r="O71" s="672"/>
    </row>
    <row r="72" spans="1:18" ht="12.3">
      <c r="A72" s="23"/>
      <c r="E72" s="1426" t="s">
        <v>748</v>
      </c>
      <c r="F72" s="1443">
        <f>IF('Please Read First'!C11="metric", (('Plant &amp; Fish Production'!C9*10000)*'Plant &amp; Fish Production'!C10)/1000,  ('Plant &amp; Fish Production'!C9*144*'Plant &amp; Fish Production'!C10)/1728*7.48)</f>
        <v>9574.4000000000015</v>
      </c>
      <c r="G72" s="1271">
        <f>IF('Please Read First'!$C$11="metric", 'Energy and Water'!F72, 'Energy and Water'!F72*8.33)</f>
        <v>79754.752000000008</v>
      </c>
      <c r="H72" s="1434"/>
      <c r="J72" s="695"/>
      <c r="K72" s="698"/>
      <c r="L72" s="699"/>
      <c r="M72" s="698"/>
      <c r="O72" s="672"/>
    </row>
    <row r="73" spans="1:18" ht="12.3">
      <c r="A73" s="23"/>
      <c r="E73" s="1437" t="s">
        <v>959</v>
      </c>
      <c r="F73" s="1447">
        <f>SUM(F68:F72)</f>
        <v>9634.4000000000015</v>
      </c>
      <c r="G73" s="1447">
        <f>IF('Please Read First'!$C$11="metric", 'Energy and Water'!F73, 'Energy and Water'!F73*8.33)</f>
        <v>80254.552000000011</v>
      </c>
      <c r="H73" s="1435"/>
      <c r="J73" s="694"/>
      <c r="K73" s="700"/>
      <c r="L73" s="694"/>
      <c r="M73" s="694"/>
      <c r="O73" s="672"/>
    </row>
    <row r="74" spans="1:18" ht="12.3">
      <c r="A74" s="23"/>
      <c r="E74" s="1437" t="s">
        <v>961</v>
      </c>
      <c r="F74" s="1447">
        <f>F73+F67</f>
        <v>9634.4000000000015</v>
      </c>
      <c r="G74" s="1447">
        <f>IF('Please Read First'!$C$11="metric", 'Energy and Water'!F74, 'Energy and Water'!F74*8.33)</f>
        <v>80254.552000000011</v>
      </c>
      <c r="H74" s="1435"/>
      <c r="J74" s="694"/>
      <c r="K74" s="697"/>
      <c r="L74" s="694"/>
      <c r="M74" s="697"/>
      <c r="O74" s="672"/>
    </row>
    <row r="75" spans="1:18" ht="12.3">
      <c r="A75" s="23"/>
      <c r="E75" s="1438" t="s">
        <v>534</v>
      </c>
      <c r="F75" s="1448">
        <v>0.3</v>
      </c>
      <c r="G75" s="1442"/>
      <c r="H75" s="1435"/>
      <c r="J75" s="694"/>
      <c r="K75" s="697"/>
      <c r="L75" s="694"/>
      <c r="M75" s="697"/>
      <c r="O75" s="672"/>
    </row>
    <row r="76" spans="1:18" ht="12.3">
      <c r="A76" s="23"/>
      <c r="E76" s="1426" t="s">
        <v>962</v>
      </c>
      <c r="F76" s="1271">
        <f>F75*F74</f>
        <v>2890.32</v>
      </c>
      <c r="G76" s="1442"/>
      <c r="H76" s="1434"/>
      <c r="J76" s="695"/>
      <c r="K76" s="694"/>
      <c r="L76" s="694"/>
      <c r="M76" s="694"/>
    </row>
    <row r="77" spans="1:18" ht="12.3">
      <c r="A77" s="23"/>
      <c r="E77" s="1438" t="s">
        <v>535</v>
      </c>
      <c r="F77" s="1271">
        <f>F76*12</f>
        <v>34683.840000000004</v>
      </c>
      <c r="G77" s="1442"/>
      <c r="H77" s="1435"/>
      <c r="J77" s="694"/>
      <c r="K77" s="369"/>
      <c r="L77" s="694"/>
      <c r="M77" s="369"/>
      <c r="O77" s="672"/>
    </row>
    <row r="78" spans="1:18" ht="12.3">
      <c r="A78" s="23"/>
      <c r="E78" s="1438" t="s">
        <v>536</v>
      </c>
      <c r="F78" s="1271">
        <f>F77+F73</f>
        <v>44318.240000000005</v>
      </c>
      <c r="G78" s="1442"/>
      <c r="H78" s="1129"/>
      <c r="O78" s="672"/>
    </row>
    <row r="79" spans="1:18" ht="12.3">
      <c r="A79" s="23"/>
      <c r="E79" s="1425" t="s">
        <v>537</v>
      </c>
      <c r="F79" s="1449">
        <f>F74</f>
        <v>9634.4000000000015</v>
      </c>
      <c r="G79" s="1450"/>
      <c r="H79" s="1129"/>
      <c r="O79" s="672"/>
    </row>
    <row r="80" spans="1:18" ht="12.3">
      <c r="A80" s="23"/>
      <c r="E80" s="1439" t="s">
        <v>538</v>
      </c>
      <c r="F80" s="1451">
        <f>F76*12</f>
        <v>34683.840000000004</v>
      </c>
      <c r="G80" s="1452"/>
      <c r="H80" s="1434"/>
      <c r="J80" s="695"/>
      <c r="K80" s="701"/>
      <c r="L80" s="699"/>
      <c r="M80" s="702"/>
      <c r="N80" s="924"/>
      <c r="O80" s="925"/>
      <c r="P80" s="926"/>
      <c r="Q80" s="281"/>
      <c r="R80" s="281"/>
    </row>
    <row r="81" spans="1:17" ht="12.3">
      <c r="A81" s="23"/>
      <c r="D81" s="703"/>
      <c r="E81" s="704"/>
      <c r="F81" s="294"/>
      <c r="G81" s="694"/>
      <c r="H81" s="694"/>
      <c r="N81" s="927"/>
      <c r="O81" s="928"/>
      <c r="P81" s="825"/>
      <c r="Q81" s="825"/>
    </row>
    <row r="82" spans="1:17" ht="12.3">
      <c r="A82" s="23"/>
      <c r="D82" s="1253" t="s">
        <v>544</v>
      </c>
      <c r="E82" s="1254"/>
      <c r="F82" s="1255"/>
      <c r="G82" s="1256"/>
      <c r="H82" s="1256"/>
      <c r="I82" s="1257" t="s">
        <v>761</v>
      </c>
      <c r="J82" s="1258"/>
      <c r="K82" s="1259">
        <f>F74</f>
        <v>9634.4000000000015</v>
      </c>
      <c r="L82" s="1260" t="s">
        <v>541</v>
      </c>
      <c r="N82" s="929"/>
      <c r="O82" s="930"/>
      <c r="P82" s="931"/>
      <c r="Q82" s="932"/>
    </row>
    <row r="83" spans="1:17" ht="36.9">
      <c r="A83" s="23"/>
      <c r="D83" s="1261" t="s">
        <v>545</v>
      </c>
      <c r="E83" s="1262" t="s">
        <v>546</v>
      </c>
      <c r="F83" s="1263" t="s">
        <v>762</v>
      </c>
      <c r="G83" s="1263" t="s">
        <v>760</v>
      </c>
      <c r="H83" s="1264" t="s">
        <v>548</v>
      </c>
      <c r="I83" s="1265" t="s">
        <v>549</v>
      </c>
      <c r="J83" s="1262" t="s">
        <v>550</v>
      </c>
      <c r="K83" s="1266" t="s">
        <v>551</v>
      </c>
      <c r="L83" s="1266" t="s">
        <v>552</v>
      </c>
      <c r="N83" s="933"/>
      <c r="O83" s="933"/>
      <c r="P83" s="934"/>
      <c r="Q83" s="934"/>
    </row>
    <row r="84" spans="1:17" ht="12.3">
      <c r="A84" s="23"/>
      <c r="D84" s="1267"/>
      <c r="E84" s="1461">
        <v>1</v>
      </c>
      <c r="F84" s="1268"/>
      <c r="G84" s="1269">
        <f>F84-F95</f>
        <v>0</v>
      </c>
      <c r="H84" s="1270">
        <f t="shared" ref="H84:H91" si="37">G84*0.01</f>
        <v>0</v>
      </c>
      <c r="I84" s="1271">
        <f>DAYS360(D95, D84)</f>
        <v>0</v>
      </c>
      <c r="J84" s="1272">
        <f>IFERROR(H84/I84, 0)</f>
        <v>0</v>
      </c>
      <c r="K84" s="1273">
        <f t="shared" ref="K84:K95" si="38">$H$4*J84</f>
        <v>0</v>
      </c>
      <c r="L84" s="1273">
        <f t="shared" ref="L84:L95" si="39">K84*30</f>
        <v>0</v>
      </c>
      <c r="N84" s="935"/>
      <c r="O84" s="936"/>
      <c r="P84" s="937"/>
      <c r="Q84" s="937"/>
    </row>
    <row r="85" spans="1:17" ht="12.3">
      <c r="A85" s="23"/>
      <c r="D85" s="1267"/>
      <c r="E85" s="1461">
        <v>2</v>
      </c>
      <c r="F85" s="1268"/>
      <c r="G85" s="1269">
        <f t="shared" ref="G85:G91" si="40">F85-F84</f>
        <v>0</v>
      </c>
      <c r="H85" s="1270">
        <f t="shared" si="37"/>
        <v>0</v>
      </c>
      <c r="I85" s="1271">
        <f t="shared" ref="I85:I91" si="41">DAYS360(D84, D85)</f>
        <v>0</v>
      </c>
      <c r="J85" s="1272">
        <f t="shared" ref="J85:J95" si="42">IFERROR(H85/I85, 0)</f>
        <v>0</v>
      </c>
      <c r="K85" s="1273">
        <f t="shared" si="38"/>
        <v>0</v>
      </c>
      <c r="L85" s="1273">
        <f t="shared" si="39"/>
        <v>0</v>
      </c>
      <c r="N85" s="935"/>
      <c r="O85" s="936"/>
      <c r="P85" s="937"/>
      <c r="Q85" s="937"/>
    </row>
    <row r="86" spans="1:17" ht="12.3">
      <c r="A86" s="23"/>
      <c r="D86" s="1267"/>
      <c r="E86" s="1461">
        <v>3</v>
      </c>
      <c r="F86" s="1268"/>
      <c r="G86" s="1269">
        <f t="shared" si="40"/>
        <v>0</v>
      </c>
      <c r="H86" s="1270">
        <f t="shared" si="37"/>
        <v>0</v>
      </c>
      <c r="I86" s="1271">
        <f t="shared" si="41"/>
        <v>0</v>
      </c>
      <c r="J86" s="1272">
        <f t="shared" si="42"/>
        <v>0</v>
      </c>
      <c r="K86" s="1273">
        <f t="shared" si="38"/>
        <v>0</v>
      </c>
      <c r="L86" s="1273">
        <f t="shared" si="39"/>
        <v>0</v>
      </c>
      <c r="N86" s="935"/>
      <c r="O86" s="936"/>
      <c r="P86" s="937"/>
      <c r="Q86" s="937"/>
    </row>
    <row r="87" spans="1:17" ht="12.3">
      <c r="A87" s="23"/>
      <c r="D87" s="1267"/>
      <c r="E87" s="1461">
        <v>4</v>
      </c>
      <c r="F87" s="1268"/>
      <c r="G87" s="1269">
        <f t="shared" si="40"/>
        <v>0</v>
      </c>
      <c r="H87" s="1270">
        <f t="shared" si="37"/>
        <v>0</v>
      </c>
      <c r="I87" s="1271">
        <f t="shared" si="41"/>
        <v>0</v>
      </c>
      <c r="J87" s="1272">
        <f t="shared" si="42"/>
        <v>0</v>
      </c>
      <c r="K87" s="1273">
        <f t="shared" si="38"/>
        <v>0</v>
      </c>
      <c r="L87" s="1273">
        <f t="shared" si="39"/>
        <v>0</v>
      </c>
      <c r="N87" s="935"/>
      <c r="O87" s="936"/>
      <c r="P87" s="937"/>
      <c r="Q87" s="937"/>
    </row>
    <row r="88" spans="1:17" ht="12.3">
      <c r="A88" s="23"/>
      <c r="D88" s="1267"/>
      <c r="E88" s="1461">
        <v>5</v>
      </c>
      <c r="F88" s="1268"/>
      <c r="G88" s="1269">
        <f t="shared" si="40"/>
        <v>0</v>
      </c>
      <c r="H88" s="1270">
        <f t="shared" si="37"/>
        <v>0</v>
      </c>
      <c r="I88" s="1271">
        <f t="shared" si="41"/>
        <v>0</v>
      </c>
      <c r="J88" s="1272">
        <f t="shared" si="42"/>
        <v>0</v>
      </c>
      <c r="K88" s="1273">
        <f t="shared" si="38"/>
        <v>0</v>
      </c>
      <c r="L88" s="1273">
        <f t="shared" si="39"/>
        <v>0</v>
      </c>
      <c r="N88" s="935"/>
      <c r="O88" s="936"/>
      <c r="P88" s="937"/>
      <c r="Q88" s="937"/>
    </row>
    <row r="89" spans="1:17" ht="12.3">
      <c r="A89" s="23"/>
      <c r="D89" s="1267"/>
      <c r="E89" s="1461">
        <v>6</v>
      </c>
      <c r="F89" s="1268"/>
      <c r="G89" s="1269">
        <f t="shared" si="40"/>
        <v>0</v>
      </c>
      <c r="H89" s="1270">
        <f t="shared" si="37"/>
        <v>0</v>
      </c>
      <c r="I89" s="1271">
        <f t="shared" si="41"/>
        <v>0</v>
      </c>
      <c r="J89" s="1272">
        <f t="shared" si="42"/>
        <v>0</v>
      </c>
      <c r="K89" s="1273">
        <f t="shared" si="38"/>
        <v>0</v>
      </c>
      <c r="L89" s="1273">
        <f t="shared" si="39"/>
        <v>0</v>
      </c>
      <c r="N89" s="935"/>
      <c r="O89" s="936"/>
      <c r="P89" s="937"/>
      <c r="Q89" s="937"/>
    </row>
    <row r="90" spans="1:17" ht="12.3">
      <c r="A90" s="23"/>
      <c r="D90" s="1267"/>
      <c r="E90" s="1461">
        <v>7</v>
      </c>
      <c r="F90" s="1268"/>
      <c r="G90" s="1269">
        <f t="shared" si="40"/>
        <v>0</v>
      </c>
      <c r="H90" s="1270">
        <f t="shared" si="37"/>
        <v>0</v>
      </c>
      <c r="I90" s="1271">
        <f t="shared" si="41"/>
        <v>0</v>
      </c>
      <c r="J90" s="1272">
        <f t="shared" si="42"/>
        <v>0</v>
      </c>
      <c r="K90" s="1273">
        <f t="shared" si="38"/>
        <v>0</v>
      </c>
      <c r="L90" s="1273">
        <f t="shared" si="39"/>
        <v>0</v>
      </c>
      <c r="N90" s="935"/>
      <c r="O90" s="936"/>
      <c r="P90" s="937"/>
      <c r="Q90" s="937"/>
    </row>
    <row r="91" spans="1:17" ht="12.3">
      <c r="A91" s="23"/>
      <c r="D91" s="1267"/>
      <c r="E91" s="1461">
        <v>8</v>
      </c>
      <c r="F91" s="1268"/>
      <c r="G91" s="1269">
        <f t="shared" si="40"/>
        <v>0</v>
      </c>
      <c r="H91" s="1270">
        <f t="shared" si="37"/>
        <v>0</v>
      </c>
      <c r="I91" s="1271">
        <f t="shared" si="41"/>
        <v>0</v>
      </c>
      <c r="J91" s="1272">
        <f t="shared" si="42"/>
        <v>0</v>
      </c>
      <c r="K91" s="1273">
        <f t="shared" si="38"/>
        <v>0</v>
      </c>
      <c r="L91" s="1273">
        <f t="shared" si="39"/>
        <v>0</v>
      </c>
      <c r="N91" s="935"/>
      <c r="O91" s="936"/>
      <c r="P91" s="937"/>
      <c r="Q91" s="937"/>
    </row>
    <row r="92" spans="1:17" ht="12.3">
      <c r="A92" s="23"/>
      <c r="D92" s="1267"/>
      <c r="E92" s="1461">
        <v>9</v>
      </c>
      <c r="F92" s="1268"/>
      <c r="G92" s="1269">
        <v>0</v>
      </c>
      <c r="H92" s="1270">
        <v>0</v>
      </c>
      <c r="I92" s="1271">
        <v>0</v>
      </c>
      <c r="J92" s="1272">
        <f t="shared" si="42"/>
        <v>0</v>
      </c>
      <c r="K92" s="1273">
        <f t="shared" si="38"/>
        <v>0</v>
      </c>
      <c r="L92" s="1273">
        <f t="shared" si="39"/>
        <v>0</v>
      </c>
      <c r="N92" s="935"/>
      <c r="O92" s="936"/>
      <c r="P92" s="937"/>
      <c r="Q92" s="937"/>
    </row>
    <row r="93" spans="1:17" ht="12.3">
      <c r="A93" s="23"/>
      <c r="D93" s="1267"/>
      <c r="E93" s="1461">
        <v>10</v>
      </c>
      <c r="F93" s="1268"/>
      <c r="G93" s="1269">
        <f>SUM(F92+F93)</f>
        <v>0</v>
      </c>
      <c r="H93" s="1270">
        <f>G93*0.01</f>
        <v>0</v>
      </c>
      <c r="I93" s="1271">
        <f>DAYS360(D92, D93)</f>
        <v>0</v>
      </c>
      <c r="J93" s="1272">
        <f t="shared" si="42"/>
        <v>0</v>
      </c>
      <c r="K93" s="1273">
        <f t="shared" si="38"/>
        <v>0</v>
      </c>
      <c r="L93" s="1273">
        <f t="shared" si="39"/>
        <v>0</v>
      </c>
      <c r="N93" s="935"/>
      <c r="O93" s="936"/>
      <c r="P93" s="937"/>
      <c r="Q93" s="937"/>
    </row>
    <row r="94" spans="1:17" ht="12.3">
      <c r="A94" s="23"/>
      <c r="D94" s="1267"/>
      <c r="E94" s="1461">
        <v>11</v>
      </c>
      <c r="F94" s="1268"/>
      <c r="G94" s="1269">
        <f>F94-F93</f>
        <v>0</v>
      </c>
      <c r="H94" s="1270">
        <f>G94*0.01</f>
        <v>0</v>
      </c>
      <c r="I94" s="1271">
        <f>D94-D93</f>
        <v>0</v>
      </c>
      <c r="J94" s="1272">
        <f t="shared" si="42"/>
        <v>0</v>
      </c>
      <c r="K94" s="1273">
        <f t="shared" si="38"/>
        <v>0</v>
      </c>
      <c r="L94" s="1273">
        <f t="shared" si="39"/>
        <v>0</v>
      </c>
      <c r="N94" s="935"/>
      <c r="O94" s="936"/>
      <c r="P94" s="937"/>
      <c r="Q94" s="937"/>
    </row>
    <row r="95" spans="1:17" ht="12.3">
      <c r="A95" s="23"/>
      <c r="D95" s="1267"/>
      <c r="E95" s="1461">
        <v>12</v>
      </c>
      <c r="F95" s="1268"/>
      <c r="G95" s="1269">
        <f>F95-F94</f>
        <v>0</v>
      </c>
      <c r="H95" s="1270">
        <f>G95*0.01</f>
        <v>0</v>
      </c>
      <c r="I95" s="1271">
        <f>DAYS360(D94, D95)</f>
        <v>0</v>
      </c>
      <c r="J95" s="1272">
        <f t="shared" si="42"/>
        <v>0</v>
      </c>
      <c r="K95" s="1273">
        <f t="shared" si="38"/>
        <v>0</v>
      </c>
      <c r="L95" s="1273">
        <f t="shared" si="39"/>
        <v>0</v>
      </c>
      <c r="N95" s="935"/>
      <c r="O95" s="936"/>
      <c r="P95" s="937"/>
      <c r="Q95" s="937"/>
    </row>
    <row r="96" spans="1:17" ht="12.3">
      <c r="A96" s="23"/>
      <c r="D96" s="373" t="s">
        <v>750</v>
      </c>
      <c r="E96" s="927"/>
      <c r="F96" s="927"/>
      <c r="G96" s="927"/>
      <c r="H96" s="927"/>
      <c r="I96" s="927"/>
      <c r="J96" s="1274" t="s">
        <v>553</v>
      </c>
      <c r="K96" s="1275"/>
      <c r="L96" s="1276">
        <f>SUM(L84:L95)</f>
        <v>0</v>
      </c>
      <c r="N96" s="938"/>
      <c r="O96" s="939"/>
      <c r="P96" s="940"/>
      <c r="Q96" s="941"/>
    </row>
    <row r="97" spans="1:17" ht="12.3">
      <c r="A97" s="23"/>
      <c r="D97" s="397"/>
      <c r="E97" s="397"/>
      <c r="F97" s="397"/>
      <c r="G97" s="397"/>
      <c r="H97" s="397"/>
      <c r="I97" s="397"/>
      <c r="J97" s="397"/>
      <c r="K97" s="397"/>
      <c r="L97" s="707"/>
      <c r="O97" s="672"/>
    </row>
    <row r="98" spans="1:17" ht="12.3">
      <c r="A98" s="23"/>
      <c r="D98" s="397"/>
      <c r="E98" s="397"/>
      <c r="F98" s="397"/>
      <c r="G98" s="397"/>
      <c r="H98" s="397"/>
      <c r="I98" s="397"/>
      <c r="J98" s="694"/>
      <c r="K98" s="700"/>
      <c r="L98" s="705"/>
      <c r="O98" s="706"/>
    </row>
    <row r="99" spans="1:17" ht="12.3">
      <c r="A99" s="23"/>
      <c r="D99" s="1277" t="s">
        <v>901</v>
      </c>
      <c r="E99" s="1254"/>
      <c r="F99" s="1255"/>
      <c r="G99" s="1256"/>
      <c r="H99" s="1256"/>
      <c r="I99" s="1256"/>
      <c r="J99" s="1278"/>
      <c r="K99" s="1278"/>
      <c r="L99" s="1279"/>
      <c r="N99" s="942"/>
      <c r="O99" s="930"/>
      <c r="P99" s="931"/>
      <c r="Q99" s="411"/>
    </row>
    <row r="100" spans="1:17" ht="36.9">
      <c r="A100" s="23"/>
      <c r="D100" s="1261" t="s">
        <v>545</v>
      </c>
      <c r="E100" s="1262" t="s">
        <v>546</v>
      </c>
      <c r="F100" s="1263" t="s">
        <v>762</v>
      </c>
      <c r="G100" s="1262" t="s">
        <v>547</v>
      </c>
      <c r="H100" s="1265" t="s">
        <v>548</v>
      </c>
      <c r="I100" s="1265" t="s">
        <v>549</v>
      </c>
      <c r="J100" s="1262" t="s">
        <v>550</v>
      </c>
      <c r="K100" s="1266" t="s">
        <v>551</v>
      </c>
      <c r="L100" s="1266" t="s">
        <v>552</v>
      </c>
      <c r="N100" s="933"/>
      <c r="O100" s="933"/>
      <c r="P100" s="934"/>
      <c r="Q100" s="934"/>
    </row>
    <row r="101" spans="1:17" ht="12.3">
      <c r="A101" s="23"/>
      <c r="D101" s="1267">
        <v>41668</v>
      </c>
      <c r="E101" s="1461">
        <v>1</v>
      </c>
      <c r="F101" s="1268">
        <v>131629.70000000001</v>
      </c>
      <c r="G101" s="1269">
        <f>F101-F112</f>
        <v>62510.700000000012</v>
      </c>
      <c r="H101" s="1270">
        <f t="shared" ref="H101:H108" si="43">G101*0.01</f>
        <v>625.10700000000008</v>
      </c>
      <c r="I101" s="1271">
        <f>DAYS360(D112, D101)</f>
        <v>40</v>
      </c>
      <c r="J101" s="1271">
        <f t="shared" ref="J101:J108" si="44">H101/I101</f>
        <v>15.627675000000002</v>
      </c>
      <c r="K101" s="1273">
        <f t="shared" ref="K101:K112" si="45">J101*$H$4</f>
        <v>0</v>
      </c>
      <c r="L101" s="1273">
        <f t="shared" ref="L101:L108" si="46">K101*30</f>
        <v>0</v>
      </c>
      <c r="N101" s="935"/>
      <c r="O101" s="936"/>
      <c r="P101" s="937"/>
      <c r="Q101" s="937"/>
    </row>
    <row r="102" spans="1:17" ht="12.3">
      <c r="A102" s="23"/>
      <c r="D102" s="1267">
        <v>41687</v>
      </c>
      <c r="E102" s="1461">
        <v>2</v>
      </c>
      <c r="F102" s="1268">
        <v>179104.2</v>
      </c>
      <c r="G102" s="1269">
        <f t="shared" ref="G102:G108" si="47">F102-F101</f>
        <v>47474.5</v>
      </c>
      <c r="H102" s="1270">
        <f t="shared" si="43"/>
        <v>474.745</v>
      </c>
      <c r="I102" s="1271">
        <f t="shared" ref="I102:I108" si="48">DAYS360(D101, D102)</f>
        <v>18</v>
      </c>
      <c r="J102" s="1271">
        <f t="shared" si="44"/>
        <v>26.374722222222221</v>
      </c>
      <c r="K102" s="1273">
        <f t="shared" si="45"/>
        <v>0</v>
      </c>
      <c r="L102" s="1273">
        <f t="shared" si="46"/>
        <v>0</v>
      </c>
      <c r="N102" s="935"/>
      <c r="O102" s="936"/>
      <c r="P102" s="937"/>
      <c r="Q102" s="937"/>
    </row>
    <row r="103" spans="1:17" ht="12.3">
      <c r="A103" s="23"/>
      <c r="D103" s="1267">
        <v>41723</v>
      </c>
      <c r="E103" s="1461">
        <v>3</v>
      </c>
      <c r="F103" s="1268">
        <v>233436.79999999999</v>
      </c>
      <c r="G103" s="1269">
        <f t="shared" si="47"/>
        <v>54332.599999999977</v>
      </c>
      <c r="H103" s="1270">
        <f t="shared" si="43"/>
        <v>543.32599999999979</v>
      </c>
      <c r="I103" s="1271">
        <f t="shared" si="48"/>
        <v>38</v>
      </c>
      <c r="J103" s="1271">
        <f t="shared" si="44"/>
        <v>14.298052631578942</v>
      </c>
      <c r="K103" s="1273">
        <f t="shared" si="45"/>
        <v>0</v>
      </c>
      <c r="L103" s="1273">
        <f t="shared" si="46"/>
        <v>0</v>
      </c>
      <c r="N103" s="935"/>
      <c r="O103" s="936"/>
      <c r="P103" s="937"/>
      <c r="Q103" s="937"/>
    </row>
    <row r="104" spans="1:17" ht="12.3">
      <c r="A104" s="23"/>
      <c r="D104" s="1267">
        <v>41758</v>
      </c>
      <c r="E104" s="1461">
        <v>4</v>
      </c>
      <c r="F104" s="1268">
        <v>247827.5</v>
      </c>
      <c r="G104" s="1269">
        <f t="shared" si="47"/>
        <v>14390.700000000012</v>
      </c>
      <c r="H104" s="1270">
        <f t="shared" si="43"/>
        <v>143.90700000000012</v>
      </c>
      <c r="I104" s="1271">
        <f t="shared" si="48"/>
        <v>34</v>
      </c>
      <c r="J104" s="1271">
        <f t="shared" si="44"/>
        <v>4.2325588235294154</v>
      </c>
      <c r="K104" s="1273">
        <f t="shared" si="45"/>
        <v>0</v>
      </c>
      <c r="L104" s="1273">
        <f t="shared" si="46"/>
        <v>0</v>
      </c>
      <c r="N104" s="935"/>
      <c r="O104" s="936"/>
      <c r="P104" s="937"/>
      <c r="Q104" s="937"/>
    </row>
    <row r="105" spans="1:17" ht="12.3">
      <c r="A105" s="23"/>
      <c r="D105" s="1267">
        <v>41788</v>
      </c>
      <c r="E105" s="1461">
        <v>5</v>
      </c>
      <c r="F105" s="1268">
        <v>254226.8</v>
      </c>
      <c r="G105" s="1269">
        <f t="shared" si="47"/>
        <v>6399.2999999999884</v>
      </c>
      <c r="H105" s="1270">
        <f t="shared" si="43"/>
        <v>63.992999999999888</v>
      </c>
      <c r="I105" s="1271">
        <f t="shared" si="48"/>
        <v>30</v>
      </c>
      <c r="J105" s="1271">
        <f t="shared" si="44"/>
        <v>2.1330999999999962</v>
      </c>
      <c r="K105" s="1273">
        <f t="shared" si="45"/>
        <v>0</v>
      </c>
      <c r="L105" s="1273">
        <f t="shared" si="46"/>
        <v>0</v>
      </c>
      <c r="N105" s="935"/>
      <c r="O105" s="936"/>
      <c r="P105" s="937"/>
      <c r="Q105" s="937"/>
    </row>
    <row r="106" spans="1:17" ht="12.3">
      <c r="A106" s="23"/>
      <c r="D106" s="1267">
        <v>41828</v>
      </c>
      <c r="E106" s="1461">
        <v>6</v>
      </c>
      <c r="F106" s="1268">
        <v>254440.5</v>
      </c>
      <c r="G106" s="1269">
        <f t="shared" si="47"/>
        <v>213.70000000001164</v>
      </c>
      <c r="H106" s="1270">
        <f t="shared" si="43"/>
        <v>2.1370000000001164</v>
      </c>
      <c r="I106" s="1271">
        <f t="shared" si="48"/>
        <v>39</v>
      </c>
      <c r="J106" s="1271">
        <f t="shared" si="44"/>
        <v>5.4794871794874779E-2</v>
      </c>
      <c r="K106" s="1273">
        <f t="shared" si="45"/>
        <v>0</v>
      </c>
      <c r="L106" s="1273">
        <f t="shared" si="46"/>
        <v>0</v>
      </c>
      <c r="N106" s="935"/>
      <c r="O106" s="936"/>
      <c r="P106" s="937"/>
      <c r="Q106" s="937"/>
    </row>
    <row r="107" spans="1:17" ht="12.3">
      <c r="A107" s="23"/>
      <c r="D107" s="1267">
        <v>41858</v>
      </c>
      <c r="E107" s="1461">
        <v>7</v>
      </c>
      <c r="F107" s="1268">
        <v>254440.5</v>
      </c>
      <c r="G107" s="1269">
        <f t="shared" si="47"/>
        <v>0</v>
      </c>
      <c r="H107" s="1270">
        <f t="shared" si="43"/>
        <v>0</v>
      </c>
      <c r="I107" s="1271">
        <f t="shared" si="48"/>
        <v>29</v>
      </c>
      <c r="J107" s="1271">
        <f t="shared" si="44"/>
        <v>0</v>
      </c>
      <c r="K107" s="1273">
        <f t="shared" si="45"/>
        <v>0</v>
      </c>
      <c r="L107" s="1273">
        <f t="shared" si="46"/>
        <v>0</v>
      </c>
      <c r="N107" s="935"/>
      <c r="O107" s="936"/>
      <c r="P107" s="937"/>
      <c r="Q107" s="937"/>
    </row>
    <row r="108" spans="1:17" ht="12.3">
      <c r="A108" s="23"/>
      <c r="D108" s="1267">
        <v>41901</v>
      </c>
      <c r="E108" s="1461">
        <v>8</v>
      </c>
      <c r="F108" s="1268">
        <v>255578.6</v>
      </c>
      <c r="G108" s="1269">
        <f t="shared" si="47"/>
        <v>1138.1000000000058</v>
      </c>
      <c r="H108" s="1270">
        <f t="shared" si="43"/>
        <v>11.381000000000059</v>
      </c>
      <c r="I108" s="1271">
        <f t="shared" si="48"/>
        <v>42</v>
      </c>
      <c r="J108" s="1271">
        <f t="shared" si="44"/>
        <v>0.27097619047619187</v>
      </c>
      <c r="K108" s="1273">
        <f t="shared" si="45"/>
        <v>0</v>
      </c>
      <c r="L108" s="1273">
        <f t="shared" si="46"/>
        <v>0</v>
      </c>
      <c r="N108" s="935"/>
      <c r="O108" s="936"/>
      <c r="P108" s="937"/>
      <c r="Q108" s="937"/>
    </row>
    <row r="109" spans="1:17" ht="12.3">
      <c r="A109" s="23"/>
      <c r="D109" s="1267">
        <v>41555</v>
      </c>
      <c r="E109" s="1461">
        <v>9</v>
      </c>
      <c r="F109" s="1268">
        <v>1</v>
      </c>
      <c r="G109" s="1269">
        <v>0</v>
      </c>
      <c r="H109" s="1270">
        <v>0</v>
      </c>
      <c r="I109" s="1271">
        <v>0</v>
      </c>
      <c r="J109" s="1271">
        <v>0</v>
      </c>
      <c r="K109" s="1273">
        <f t="shared" si="45"/>
        <v>0</v>
      </c>
      <c r="L109" s="1273">
        <v>0</v>
      </c>
      <c r="N109" s="935"/>
      <c r="O109" s="936"/>
      <c r="P109" s="937"/>
      <c r="Q109" s="937"/>
    </row>
    <row r="110" spans="1:17" ht="12.3">
      <c r="A110" s="23"/>
      <c r="D110" s="1267">
        <v>41569</v>
      </c>
      <c r="E110" s="1461">
        <v>10</v>
      </c>
      <c r="F110" s="1268">
        <v>8160</v>
      </c>
      <c r="G110" s="1269">
        <f>SUM(F109+F110)</f>
        <v>8161</v>
      </c>
      <c r="H110" s="1270">
        <f>G110*0.01</f>
        <v>81.61</v>
      </c>
      <c r="I110" s="1280">
        <f>DAYS360(D109, D110)</f>
        <v>14</v>
      </c>
      <c r="J110" s="1271">
        <f>H110/I110</f>
        <v>5.8292857142857146</v>
      </c>
      <c r="K110" s="1273">
        <f t="shared" si="45"/>
        <v>0</v>
      </c>
      <c r="L110" s="1273">
        <f>K110*30</f>
        <v>0</v>
      </c>
      <c r="N110" s="935"/>
      <c r="O110" s="936"/>
      <c r="P110" s="937"/>
      <c r="Q110" s="937"/>
    </row>
    <row r="111" spans="1:17" ht="12.3">
      <c r="A111" s="23"/>
      <c r="D111" s="1267">
        <v>41598</v>
      </c>
      <c r="E111" s="1461">
        <v>11</v>
      </c>
      <c r="F111" s="1268">
        <v>33735</v>
      </c>
      <c r="G111" s="1269">
        <f>F111-F110</f>
        <v>25575</v>
      </c>
      <c r="H111" s="1270">
        <f>G111*0.01</f>
        <v>255.75</v>
      </c>
      <c r="I111" s="1281">
        <f>D111-D110</f>
        <v>29</v>
      </c>
      <c r="J111" s="1271">
        <f>H111/I111</f>
        <v>8.818965517241379</v>
      </c>
      <c r="K111" s="1273">
        <f t="shared" si="45"/>
        <v>0</v>
      </c>
      <c r="L111" s="1273">
        <f>K111*30</f>
        <v>0</v>
      </c>
      <c r="N111" s="935"/>
      <c r="O111" s="936"/>
      <c r="P111" s="937"/>
      <c r="Q111" s="937"/>
    </row>
    <row r="112" spans="1:17" ht="12.3">
      <c r="A112" s="23"/>
      <c r="D112" s="1267">
        <v>41627</v>
      </c>
      <c r="E112" s="1461">
        <v>12</v>
      </c>
      <c r="F112" s="1268">
        <v>69119</v>
      </c>
      <c r="G112" s="1269">
        <f>F112-F111</f>
        <v>35384</v>
      </c>
      <c r="H112" s="1270">
        <f>G112*0.01</f>
        <v>353.84000000000003</v>
      </c>
      <c r="I112" s="1271">
        <f>DAYS360(D111, D112)</f>
        <v>29</v>
      </c>
      <c r="J112" s="1271">
        <f>H112/I112</f>
        <v>12.201379310344828</v>
      </c>
      <c r="K112" s="1273">
        <f t="shared" si="45"/>
        <v>0</v>
      </c>
      <c r="L112" s="1273">
        <f>K112*30</f>
        <v>0</v>
      </c>
      <c r="N112" s="935"/>
      <c r="O112" s="936"/>
      <c r="P112" s="937"/>
      <c r="Q112" s="937"/>
    </row>
    <row r="113" spans="1:17" ht="12.3">
      <c r="A113" s="23"/>
      <c r="D113" s="373" t="s">
        <v>750</v>
      </c>
      <c r="E113" s="927"/>
      <c r="F113" s="927"/>
      <c r="G113" s="927"/>
      <c r="H113" s="927"/>
      <c r="I113" s="927"/>
      <c r="J113" s="1274" t="s">
        <v>553</v>
      </c>
      <c r="K113" s="1275"/>
      <c r="L113" s="1276">
        <f>SUM(L101:L112)</f>
        <v>0</v>
      </c>
      <c r="N113" s="938"/>
      <c r="O113" s="939"/>
      <c r="P113" s="940"/>
      <c r="Q113" s="943"/>
    </row>
    <row r="114" spans="1:17" ht="12.3">
      <c r="A114" s="23"/>
      <c r="E114" s="670"/>
      <c r="F114" s="670"/>
      <c r="O114" s="672"/>
    </row>
    <row r="115" spans="1:17" ht="12.3">
      <c r="A115" s="23"/>
      <c r="E115" s="670"/>
      <c r="F115" s="670"/>
      <c r="O115" s="672"/>
    </row>
    <row r="116" spans="1:17" ht="12.3">
      <c r="A116" s="23"/>
      <c r="E116" s="670"/>
      <c r="F116" s="670"/>
      <c r="O116" s="672"/>
    </row>
    <row r="117" spans="1:17" ht="12.3">
      <c r="A117" s="23"/>
      <c r="E117" s="670"/>
      <c r="F117" s="670"/>
      <c r="O117" s="672"/>
    </row>
    <row r="118" spans="1:17" ht="12.3">
      <c r="A118" s="23"/>
      <c r="E118" s="670"/>
      <c r="F118" s="670"/>
      <c r="O118" s="672"/>
    </row>
    <row r="119" spans="1:17" ht="12.3">
      <c r="A119" s="23"/>
      <c r="E119" s="670"/>
      <c r="F119" s="670"/>
      <c r="O119" s="672"/>
    </row>
    <row r="120" spans="1:17" ht="12.3">
      <c r="A120" s="23"/>
      <c r="E120" s="670"/>
      <c r="F120" s="670"/>
      <c r="O120" s="672"/>
    </row>
    <row r="121" spans="1:17" ht="12.3">
      <c r="A121" s="23"/>
      <c r="E121" s="670"/>
      <c r="F121" s="670"/>
      <c r="O121" s="672"/>
    </row>
    <row r="122" spans="1:17" ht="12.3">
      <c r="A122" s="23"/>
      <c r="E122" s="670"/>
      <c r="F122" s="670"/>
      <c r="O122" s="672"/>
    </row>
    <row r="123" spans="1:17" ht="12.3">
      <c r="A123" s="23"/>
      <c r="E123" s="670"/>
      <c r="F123" s="670"/>
      <c r="O123" s="672"/>
    </row>
    <row r="124" spans="1:17" ht="12.3">
      <c r="A124" s="23"/>
      <c r="E124" s="670"/>
      <c r="F124" s="670"/>
      <c r="O124" s="672"/>
    </row>
    <row r="125" spans="1:17" ht="12.3">
      <c r="A125" s="23"/>
      <c r="E125" s="670"/>
      <c r="F125" s="670"/>
      <c r="O125" s="672"/>
    </row>
    <row r="126" spans="1:17" ht="12.3">
      <c r="A126" s="23"/>
      <c r="E126" s="670"/>
      <c r="F126" s="670"/>
      <c r="O126" s="672"/>
    </row>
    <row r="127" spans="1:17" ht="12.3">
      <c r="A127" s="23"/>
      <c r="E127" s="670"/>
      <c r="F127" s="670"/>
      <c r="O127" s="672"/>
    </row>
    <row r="128" spans="1:17" ht="12.3">
      <c r="A128" s="23"/>
      <c r="E128" s="670"/>
      <c r="F128" s="670"/>
      <c r="O128" s="672"/>
    </row>
    <row r="129" spans="1:15" ht="12.3">
      <c r="A129" s="23"/>
      <c r="E129" s="670"/>
      <c r="F129" s="670"/>
      <c r="O129" s="672"/>
    </row>
    <row r="130" spans="1:15" ht="12.3">
      <c r="A130" s="23"/>
      <c r="E130" s="670"/>
      <c r="F130" s="670"/>
      <c r="O130" s="672"/>
    </row>
    <row r="131" spans="1:15" ht="12.3">
      <c r="A131" s="23"/>
      <c r="E131" s="670"/>
      <c r="F131" s="670"/>
      <c r="O131" s="672"/>
    </row>
    <row r="132" spans="1:15" ht="12.3">
      <c r="A132" s="23"/>
      <c r="E132" s="670"/>
      <c r="F132" s="670"/>
      <c r="O132" s="672"/>
    </row>
    <row r="133" spans="1:15" ht="12.3">
      <c r="A133" s="23"/>
      <c r="E133" s="670"/>
      <c r="F133" s="670"/>
      <c r="O133" s="672"/>
    </row>
    <row r="134" spans="1:15" ht="12.3">
      <c r="A134" s="23"/>
      <c r="E134" s="670"/>
      <c r="F134" s="670"/>
      <c r="O134" s="672"/>
    </row>
    <row r="135" spans="1:15" ht="12.3">
      <c r="A135" s="23"/>
      <c r="E135" s="670"/>
      <c r="F135" s="670"/>
      <c r="O135" s="672"/>
    </row>
    <row r="136" spans="1:15" ht="12.3">
      <c r="A136" s="23"/>
      <c r="E136" s="670"/>
      <c r="F136" s="670"/>
      <c r="O136" s="672"/>
    </row>
    <row r="137" spans="1:15" ht="12.3">
      <c r="A137" s="23"/>
      <c r="E137" s="670"/>
      <c r="F137" s="670"/>
      <c r="O137" s="672"/>
    </row>
    <row r="138" spans="1:15" ht="12.3">
      <c r="A138" s="23"/>
      <c r="E138" s="670"/>
      <c r="F138" s="670"/>
      <c r="O138" s="672"/>
    </row>
    <row r="139" spans="1:15" ht="12.3">
      <c r="A139" s="23"/>
      <c r="E139" s="670"/>
      <c r="F139" s="670"/>
      <c r="O139" s="672"/>
    </row>
    <row r="140" spans="1:15" ht="12.3">
      <c r="A140" s="23"/>
      <c r="E140" s="670"/>
      <c r="F140" s="670"/>
      <c r="O140" s="672"/>
    </row>
    <row r="141" spans="1:15" ht="12.3">
      <c r="A141" s="23"/>
      <c r="E141" s="670"/>
      <c r="F141" s="670"/>
      <c r="O141" s="672"/>
    </row>
    <row r="142" spans="1:15" ht="12.3">
      <c r="A142" s="23"/>
      <c r="E142" s="670"/>
      <c r="F142" s="670"/>
      <c r="O142" s="672"/>
    </row>
    <row r="143" spans="1:15" ht="12.3">
      <c r="A143" s="23"/>
      <c r="E143" s="670"/>
      <c r="F143" s="670"/>
      <c r="O143" s="672"/>
    </row>
    <row r="144" spans="1:15" ht="12.3">
      <c r="A144" s="23"/>
      <c r="E144" s="670"/>
      <c r="F144" s="670"/>
      <c r="O144" s="672"/>
    </row>
    <row r="145" spans="1:15" ht="12.3">
      <c r="A145" s="23"/>
      <c r="E145" s="670"/>
      <c r="F145" s="670"/>
      <c r="O145" s="672"/>
    </row>
    <row r="146" spans="1:15" ht="12.3">
      <c r="A146" s="23"/>
      <c r="E146" s="670"/>
      <c r="F146" s="670"/>
      <c r="O146" s="672"/>
    </row>
    <row r="147" spans="1:15" ht="12.3">
      <c r="A147" s="23"/>
      <c r="E147" s="670"/>
      <c r="F147" s="670"/>
      <c r="O147" s="672"/>
    </row>
    <row r="148" spans="1:15" ht="12.3">
      <c r="A148" s="23"/>
      <c r="E148" s="670"/>
      <c r="F148" s="670"/>
      <c r="O148" s="672"/>
    </row>
    <row r="149" spans="1:15" ht="12.3">
      <c r="A149" s="23"/>
      <c r="E149" s="670"/>
      <c r="F149" s="670"/>
      <c r="O149" s="672"/>
    </row>
    <row r="150" spans="1:15" ht="12.3">
      <c r="A150" s="23"/>
      <c r="E150" s="670"/>
      <c r="F150" s="670"/>
      <c r="O150" s="672"/>
    </row>
    <row r="151" spans="1:15" ht="12.3">
      <c r="A151" s="23"/>
      <c r="E151" s="670"/>
      <c r="F151" s="670"/>
      <c r="O151" s="672"/>
    </row>
    <row r="152" spans="1:15" ht="12.3">
      <c r="A152" s="23"/>
      <c r="E152" s="670"/>
      <c r="F152" s="670"/>
      <c r="O152" s="672"/>
    </row>
    <row r="153" spans="1:15" ht="12.3">
      <c r="A153" s="23"/>
      <c r="E153" s="670"/>
      <c r="F153" s="670"/>
      <c r="O153" s="672"/>
    </row>
    <row r="154" spans="1:15" ht="12.3">
      <c r="A154" s="23"/>
      <c r="E154" s="670"/>
      <c r="F154" s="670"/>
      <c r="O154" s="672"/>
    </row>
    <row r="155" spans="1:15" ht="12.3">
      <c r="A155" s="23"/>
      <c r="E155" s="670"/>
      <c r="F155" s="670"/>
      <c r="O155" s="672"/>
    </row>
    <row r="156" spans="1:15" ht="12.3">
      <c r="A156" s="23"/>
      <c r="E156" s="670"/>
      <c r="F156" s="670"/>
      <c r="O156" s="672"/>
    </row>
    <row r="157" spans="1:15" ht="12.3">
      <c r="A157" s="23"/>
      <c r="E157" s="670"/>
      <c r="F157" s="670"/>
      <c r="O157" s="672"/>
    </row>
    <row r="158" spans="1:15" ht="12.3">
      <c r="A158" s="23"/>
      <c r="E158" s="670"/>
      <c r="F158" s="670"/>
      <c r="O158" s="672"/>
    </row>
    <row r="159" spans="1:15" ht="12.3">
      <c r="A159" s="23"/>
      <c r="E159" s="670"/>
      <c r="F159" s="670"/>
      <c r="O159" s="672"/>
    </row>
    <row r="160" spans="1:15" ht="12.3">
      <c r="A160" s="23"/>
      <c r="E160" s="670"/>
      <c r="F160" s="670"/>
      <c r="O160" s="672"/>
    </row>
    <row r="161" spans="1:15" ht="12.3">
      <c r="A161" s="23"/>
      <c r="E161" s="670"/>
      <c r="F161" s="670"/>
      <c r="O161" s="672"/>
    </row>
    <row r="162" spans="1:15" ht="12.3">
      <c r="A162" s="23"/>
      <c r="E162" s="670"/>
      <c r="F162" s="670"/>
      <c r="O162" s="672"/>
    </row>
    <row r="163" spans="1:15" ht="12.3">
      <c r="A163" s="23"/>
      <c r="E163" s="670"/>
      <c r="F163" s="670"/>
      <c r="O163" s="672"/>
    </row>
    <row r="164" spans="1:15" ht="12.3">
      <c r="A164" s="23"/>
      <c r="E164" s="670"/>
      <c r="F164" s="670"/>
      <c r="O164" s="672"/>
    </row>
    <row r="165" spans="1:15" ht="12.3">
      <c r="A165" s="23"/>
      <c r="E165" s="670"/>
      <c r="F165" s="670"/>
      <c r="O165" s="672"/>
    </row>
    <row r="166" spans="1:15" ht="12.3">
      <c r="A166" s="23"/>
      <c r="E166" s="670"/>
      <c r="F166" s="670"/>
      <c r="O166" s="672"/>
    </row>
    <row r="167" spans="1:15" ht="12.3">
      <c r="A167" s="23"/>
      <c r="E167" s="670"/>
      <c r="F167" s="670"/>
      <c r="O167" s="672"/>
    </row>
    <row r="168" spans="1:15" ht="12.3">
      <c r="A168" s="23"/>
      <c r="E168" s="670"/>
      <c r="F168" s="670"/>
      <c r="O168" s="672"/>
    </row>
    <row r="169" spans="1:15" ht="12.3">
      <c r="A169" s="23"/>
      <c r="E169" s="670"/>
      <c r="F169" s="670"/>
      <c r="O169" s="672"/>
    </row>
    <row r="170" spans="1:15" ht="12.3">
      <c r="A170" s="23"/>
      <c r="E170" s="670"/>
      <c r="F170" s="670"/>
      <c r="O170" s="672"/>
    </row>
    <row r="171" spans="1:15" ht="12.3">
      <c r="A171" s="23"/>
      <c r="E171" s="670"/>
      <c r="F171" s="670"/>
      <c r="O171" s="672"/>
    </row>
    <row r="172" spans="1:15" ht="12.3">
      <c r="A172" s="23"/>
      <c r="E172" s="670"/>
      <c r="F172" s="670"/>
      <c r="O172" s="672"/>
    </row>
    <row r="173" spans="1:15" ht="12.3">
      <c r="A173" s="23"/>
      <c r="E173" s="670"/>
      <c r="F173" s="670"/>
      <c r="O173" s="672"/>
    </row>
    <row r="174" spans="1:15" ht="12.3">
      <c r="A174" s="23"/>
      <c r="E174" s="670"/>
      <c r="F174" s="670"/>
      <c r="O174" s="672"/>
    </row>
    <row r="175" spans="1:15" ht="12.3">
      <c r="A175" s="23"/>
      <c r="E175" s="670"/>
      <c r="F175" s="670"/>
      <c r="O175" s="672"/>
    </row>
    <row r="176" spans="1:15" ht="12.3">
      <c r="A176" s="23"/>
      <c r="E176" s="670"/>
      <c r="F176" s="670"/>
      <c r="O176" s="672"/>
    </row>
    <row r="177" spans="1:15" ht="12.3">
      <c r="A177" s="23"/>
      <c r="E177" s="670"/>
      <c r="F177" s="670"/>
      <c r="O177" s="672"/>
    </row>
    <row r="178" spans="1:15" ht="12.3">
      <c r="A178" s="23"/>
      <c r="E178" s="670"/>
      <c r="F178" s="670"/>
      <c r="O178" s="672"/>
    </row>
    <row r="179" spans="1:15" ht="12.3">
      <c r="A179" s="23"/>
      <c r="E179" s="670"/>
      <c r="F179" s="670"/>
      <c r="O179" s="672"/>
    </row>
    <row r="180" spans="1:15" ht="12.3">
      <c r="A180" s="23"/>
      <c r="E180" s="670"/>
      <c r="F180" s="670"/>
      <c r="O180" s="672"/>
    </row>
    <row r="181" spans="1:15" ht="12.3">
      <c r="A181" s="23"/>
      <c r="E181" s="670"/>
      <c r="F181" s="670"/>
      <c r="O181" s="672"/>
    </row>
    <row r="182" spans="1:15" ht="12.3">
      <c r="A182" s="23"/>
      <c r="E182" s="670"/>
      <c r="F182" s="670"/>
      <c r="O182" s="672"/>
    </row>
    <row r="183" spans="1:15" ht="12.3">
      <c r="A183" s="23"/>
      <c r="E183" s="670"/>
      <c r="F183" s="670"/>
      <c r="O183" s="672"/>
    </row>
    <row r="184" spans="1:15" ht="12.3">
      <c r="A184" s="23"/>
      <c r="E184" s="670"/>
      <c r="F184" s="670"/>
      <c r="O184" s="672"/>
    </row>
    <row r="185" spans="1:15" ht="12.3">
      <c r="A185" s="23"/>
      <c r="E185" s="670"/>
      <c r="F185" s="670"/>
      <c r="O185" s="672"/>
    </row>
    <row r="186" spans="1:15" ht="12.3">
      <c r="A186" s="23"/>
      <c r="E186" s="670"/>
      <c r="F186" s="670"/>
      <c r="O186" s="672"/>
    </row>
    <row r="187" spans="1:15" ht="12.3">
      <c r="A187" s="23"/>
      <c r="E187" s="670"/>
      <c r="F187" s="670"/>
      <c r="O187" s="672"/>
    </row>
    <row r="188" spans="1:15" ht="12.3">
      <c r="A188" s="23"/>
      <c r="E188" s="670"/>
      <c r="F188" s="670"/>
      <c r="O188" s="672"/>
    </row>
    <row r="189" spans="1:15" ht="12.3">
      <c r="A189" s="23"/>
      <c r="E189" s="670"/>
      <c r="F189" s="670"/>
      <c r="O189" s="672"/>
    </row>
    <row r="190" spans="1:15" ht="12.3">
      <c r="A190" s="23"/>
      <c r="E190" s="670"/>
      <c r="F190" s="670"/>
      <c r="O190" s="672"/>
    </row>
    <row r="191" spans="1:15" ht="12.3">
      <c r="A191" s="23"/>
      <c r="E191" s="670"/>
      <c r="F191" s="670"/>
      <c r="O191" s="672"/>
    </row>
    <row r="192" spans="1:15" ht="12.3">
      <c r="A192" s="23"/>
      <c r="E192" s="670"/>
      <c r="F192" s="670"/>
      <c r="O192" s="672"/>
    </row>
    <row r="193" spans="1:15" ht="12.3">
      <c r="A193" s="23"/>
      <c r="E193" s="670"/>
      <c r="F193" s="670"/>
      <c r="O193" s="672"/>
    </row>
    <row r="194" spans="1:15" ht="12.3">
      <c r="A194" s="23"/>
      <c r="E194" s="670"/>
      <c r="F194" s="670"/>
      <c r="O194" s="672"/>
    </row>
    <row r="195" spans="1:15" ht="12.3">
      <c r="A195" s="23"/>
      <c r="E195" s="670"/>
      <c r="F195" s="670"/>
      <c r="O195" s="672"/>
    </row>
    <row r="196" spans="1:15" ht="12.3">
      <c r="A196" s="23"/>
      <c r="E196" s="670"/>
      <c r="F196" s="670"/>
      <c r="O196" s="672"/>
    </row>
    <row r="197" spans="1:15" ht="12.3">
      <c r="A197" s="23"/>
      <c r="E197" s="670"/>
      <c r="F197" s="670"/>
      <c r="O197" s="672"/>
    </row>
    <row r="198" spans="1:15" ht="12.3">
      <c r="A198" s="23"/>
      <c r="E198" s="670"/>
      <c r="F198" s="670"/>
      <c r="O198" s="672"/>
    </row>
    <row r="199" spans="1:15" ht="12.3">
      <c r="A199" s="23"/>
      <c r="E199" s="670"/>
      <c r="F199" s="670"/>
      <c r="O199" s="672"/>
    </row>
    <row r="200" spans="1:15" ht="12.3">
      <c r="A200" s="23"/>
      <c r="E200" s="670"/>
      <c r="F200" s="670"/>
      <c r="O200" s="672"/>
    </row>
    <row r="201" spans="1:15" ht="12.3">
      <c r="A201" s="23"/>
      <c r="E201" s="670"/>
      <c r="F201" s="670"/>
      <c r="O201" s="672"/>
    </row>
    <row r="202" spans="1:15" ht="12.3">
      <c r="A202" s="23"/>
      <c r="E202" s="670"/>
      <c r="F202" s="670"/>
      <c r="O202" s="672"/>
    </row>
    <row r="203" spans="1:15" ht="12.3">
      <c r="A203" s="23"/>
      <c r="E203" s="670"/>
      <c r="F203" s="670"/>
      <c r="O203" s="672"/>
    </row>
    <row r="204" spans="1:15" ht="12.3">
      <c r="A204" s="23"/>
      <c r="E204" s="670"/>
      <c r="F204" s="670"/>
      <c r="O204" s="672"/>
    </row>
    <row r="205" spans="1:15" ht="12.3">
      <c r="A205" s="23"/>
      <c r="E205" s="670"/>
      <c r="F205" s="670"/>
      <c r="O205" s="672"/>
    </row>
    <row r="206" spans="1:15" ht="12.3">
      <c r="A206" s="23"/>
      <c r="E206" s="670"/>
      <c r="F206" s="670"/>
      <c r="O206" s="672"/>
    </row>
    <row r="207" spans="1:15" ht="12.3">
      <c r="A207" s="23"/>
      <c r="E207" s="670"/>
      <c r="F207" s="670"/>
      <c r="O207" s="672"/>
    </row>
    <row r="208" spans="1:15" ht="12.3">
      <c r="A208" s="23"/>
      <c r="E208" s="670"/>
      <c r="F208" s="670"/>
      <c r="O208" s="672"/>
    </row>
    <row r="209" spans="1:15" ht="12.3">
      <c r="A209" s="23"/>
      <c r="E209" s="670"/>
      <c r="F209" s="670"/>
      <c r="O209" s="672"/>
    </row>
    <row r="210" spans="1:15" ht="12.3">
      <c r="A210" s="23"/>
      <c r="E210" s="670"/>
      <c r="F210" s="670"/>
      <c r="O210" s="672"/>
    </row>
    <row r="211" spans="1:15" ht="12.3">
      <c r="A211" s="23"/>
      <c r="E211" s="670"/>
      <c r="F211" s="670"/>
      <c r="O211" s="672"/>
    </row>
    <row r="212" spans="1:15" ht="12.3">
      <c r="A212" s="23"/>
      <c r="E212" s="670"/>
      <c r="F212" s="670"/>
      <c r="O212" s="672"/>
    </row>
    <row r="213" spans="1:15" ht="12.3">
      <c r="A213" s="23"/>
      <c r="E213" s="670"/>
      <c r="F213" s="670"/>
      <c r="O213" s="672"/>
    </row>
    <row r="214" spans="1:15" ht="12.3">
      <c r="A214" s="23"/>
      <c r="E214" s="670"/>
      <c r="F214" s="670"/>
      <c r="O214" s="672"/>
    </row>
    <row r="215" spans="1:15" ht="12.3">
      <c r="A215" s="23"/>
      <c r="E215" s="670"/>
      <c r="F215" s="670"/>
      <c r="O215" s="672"/>
    </row>
    <row r="216" spans="1:15" ht="12.3">
      <c r="A216" s="23"/>
      <c r="E216" s="670"/>
      <c r="F216" s="670"/>
      <c r="O216" s="672"/>
    </row>
    <row r="217" spans="1:15" ht="12.3">
      <c r="A217" s="23"/>
      <c r="E217" s="670"/>
      <c r="F217" s="670"/>
      <c r="O217" s="672"/>
    </row>
    <row r="218" spans="1:15" ht="12.3">
      <c r="A218" s="23"/>
      <c r="E218" s="670"/>
      <c r="F218" s="670"/>
      <c r="O218" s="672"/>
    </row>
    <row r="219" spans="1:15" ht="12.3">
      <c r="A219" s="23"/>
      <c r="E219" s="670"/>
      <c r="F219" s="670"/>
      <c r="O219" s="672"/>
    </row>
    <row r="220" spans="1:15" ht="12.3">
      <c r="A220" s="23"/>
      <c r="E220" s="670"/>
      <c r="F220" s="670"/>
      <c r="O220" s="672"/>
    </row>
    <row r="221" spans="1:15" ht="12.3">
      <c r="A221" s="23"/>
      <c r="E221" s="670"/>
      <c r="F221" s="670"/>
      <c r="O221" s="672"/>
    </row>
    <row r="222" spans="1:15" ht="12.3">
      <c r="A222" s="23"/>
      <c r="E222" s="670"/>
      <c r="F222" s="670"/>
      <c r="O222" s="672"/>
    </row>
    <row r="223" spans="1:15" ht="12.3">
      <c r="A223" s="23"/>
      <c r="E223" s="670"/>
      <c r="F223" s="670"/>
      <c r="O223" s="672"/>
    </row>
    <row r="224" spans="1:15" ht="12.3">
      <c r="A224" s="23"/>
      <c r="E224" s="670"/>
      <c r="F224" s="670"/>
      <c r="O224" s="672"/>
    </row>
    <row r="225" spans="1:15" ht="12.3">
      <c r="A225" s="23"/>
      <c r="E225" s="670"/>
      <c r="F225" s="670"/>
      <c r="O225" s="672"/>
    </row>
    <row r="226" spans="1:15" ht="12.3">
      <c r="A226" s="23"/>
      <c r="E226" s="670"/>
      <c r="F226" s="670"/>
      <c r="O226" s="672"/>
    </row>
    <row r="227" spans="1:15" ht="12.3">
      <c r="A227" s="23"/>
      <c r="E227" s="670"/>
      <c r="F227" s="670"/>
      <c r="O227" s="672"/>
    </row>
    <row r="228" spans="1:15" ht="12.3">
      <c r="A228" s="23"/>
      <c r="E228" s="670"/>
      <c r="F228" s="670"/>
      <c r="O228" s="672"/>
    </row>
    <row r="229" spans="1:15" ht="12.3">
      <c r="A229" s="23"/>
      <c r="E229" s="670"/>
      <c r="F229" s="670"/>
      <c r="O229" s="672"/>
    </row>
    <row r="230" spans="1:15" ht="12.3">
      <c r="A230" s="23"/>
      <c r="E230" s="670"/>
      <c r="F230" s="670"/>
      <c r="O230" s="672"/>
    </row>
    <row r="231" spans="1:15" ht="12.3">
      <c r="A231" s="23"/>
      <c r="E231" s="670"/>
      <c r="F231" s="670"/>
      <c r="O231" s="672"/>
    </row>
    <row r="232" spans="1:15" ht="12.3">
      <c r="A232" s="23"/>
      <c r="E232" s="670"/>
      <c r="F232" s="670"/>
      <c r="O232" s="672"/>
    </row>
    <row r="233" spans="1:15" ht="12.3">
      <c r="A233" s="23"/>
      <c r="E233" s="670"/>
      <c r="F233" s="670"/>
      <c r="O233" s="672"/>
    </row>
    <row r="234" spans="1:15" ht="12.3">
      <c r="A234" s="23"/>
      <c r="E234" s="670"/>
      <c r="F234" s="670"/>
      <c r="O234" s="672"/>
    </row>
    <row r="235" spans="1:15" ht="12.3">
      <c r="A235" s="23"/>
      <c r="E235" s="670"/>
      <c r="F235" s="670"/>
      <c r="O235" s="672"/>
    </row>
    <row r="236" spans="1:15" ht="12.3">
      <c r="A236" s="23"/>
      <c r="E236" s="670"/>
      <c r="F236" s="670"/>
      <c r="O236" s="672"/>
    </row>
    <row r="237" spans="1:15" ht="12.3">
      <c r="A237" s="23"/>
      <c r="E237" s="670"/>
      <c r="F237" s="670"/>
      <c r="O237" s="672"/>
    </row>
    <row r="238" spans="1:15" ht="12.3">
      <c r="A238" s="23"/>
      <c r="E238" s="670"/>
      <c r="F238" s="670"/>
      <c r="O238" s="672"/>
    </row>
    <row r="239" spans="1:15" ht="12.3">
      <c r="A239" s="23"/>
      <c r="E239" s="670"/>
      <c r="F239" s="670"/>
      <c r="O239" s="672"/>
    </row>
    <row r="240" spans="1:15" ht="12.3">
      <c r="A240" s="23"/>
      <c r="E240" s="670"/>
      <c r="F240" s="670"/>
      <c r="O240" s="672"/>
    </row>
    <row r="241" spans="1:15" ht="12.3">
      <c r="A241" s="23"/>
      <c r="E241" s="670"/>
      <c r="F241" s="670"/>
      <c r="O241" s="672"/>
    </row>
    <row r="242" spans="1:15" ht="12.3">
      <c r="A242" s="23"/>
      <c r="E242" s="670"/>
      <c r="F242" s="670"/>
      <c r="O242" s="672"/>
    </row>
    <row r="243" spans="1:15" ht="12.3">
      <c r="A243" s="23"/>
      <c r="E243" s="670"/>
      <c r="F243" s="670"/>
      <c r="O243" s="672"/>
    </row>
    <row r="244" spans="1:15" ht="12.3">
      <c r="A244" s="23"/>
      <c r="E244" s="670"/>
      <c r="F244" s="670"/>
      <c r="O244" s="672"/>
    </row>
    <row r="245" spans="1:15" ht="12.3">
      <c r="A245" s="23"/>
      <c r="E245" s="670"/>
      <c r="F245" s="670"/>
      <c r="O245" s="672"/>
    </row>
    <row r="246" spans="1:15" ht="12.3">
      <c r="A246" s="23"/>
      <c r="E246" s="670"/>
      <c r="F246" s="670"/>
      <c r="O246" s="672"/>
    </row>
    <row r="247" spans="1:15" ht="12.3">
      <c r="A247" s="23"/>
      <c r="E247" s="670"/>
      <c r="F247" s="670"/>
      <c r="O247" s="672"/>
    </row>
    <row r="248" spans="1:15" ht="12.3">
      <c r="A248" s="23"/>
      <c r="E248" s="670"/>
      <c r="F248" s="670"/>
      <c r="O248" s="672"/>
    </row>
    <row r="249" spans="1:15" ht="12.3">
      <c r="A249" s="23"/>
      <c r="E249" s="670"/>
      <c r="F249" s="670"/>
      <c r="O249" s="672"/>
    </row>
    <row r="250" spans="1:15" ht="12.3">
      <c r="A250" s="23"/>
      <c r="E250" s="670"/>
      <c r="F250" s="670"/>
      <c r="O250" s="672"/>
    </row>
    <row r="251" spans="1:15" ht="12.3">
      <c r="A251" s="23"/>
      <c r="E251" s="670"/>
      <c r="F251" s="670"/>
      <c r="O251" s="672"/>
    </row>
    <row r="252" spans="1:15" ht="12.3">
      <c r="A252" s="23"/>
      <c r="E252" s="670"/>
      <c r="F252" s="670"/>
      <c r="O252" s="672"/>
    </row>
    <row r="253" spans="1:15" ht="12.3">
      <c r="A253" s="23"/>
      <c r="E253" s="670"/>
      <c r="F253" s="670"/>
      <c r="O253" s="672"/>
    </row>
    <row r="254" spans="1:15" ht="12.3">
      <c r="A254" s="23"/>
      <c r="E254" s="670"/>
      <c r="F254" s="670"/>
      <c r="O254" s="672"/>
    </row>
    <row r="255" spans="1:15" ht="12.3">
      <c r="A255" s="23"/>
      <c r="E255" s="670"/>
      <c r="F255" s="670"/>
      <c r="O255" s="672"/>
    </row>
    <row r="256" spans="1:15" ht="12.3">
      <c r="A256" s="23"/>
      <c r="E256" s="670"/>
      <c r="F256" s="670"/>
      <c r="O256" s="672"/>
    </row>
    <row r="257" spans="1:15" ht="12.3">
      <c r="A257" s="23"/>
      <c r="E257" s="670"/>
      <c r="F257" s="670"/>
      <c r="O257" s="672"/>
    </row>
    <row r="258" spans="1:15" ht="12.3">
      <c r="A258" s="23"/>
      <c r="E258" s="670"/>
      <c r="F258" s="670"/>
      <c r="O258" s="672"/>
    </row>
    <row r="259" spans="1:15" ht="12.3">
      <c r="A259" s="23"/>
      <c r="E259" s="670"/>
      <c r="F259" s="670"/>
      <c r="O259" s="672"/>
    </row>
    <row r="260" spans="1:15" ht="12.3">
      <c r="A260" s="23"/>
      <c r="E260" s="670"/>
      <c r="F260" s="670"/>
      <c r="O260" s="672"/>
    </row>
    <row r="261" spans="1:15" ht="12.3">
      <c r="A261" s="23"/>
      <c r="E261" s="670"/>
      <c r="F261" s="670"/>
      <c r="O261" s="672"/>
    </row>
    <row r="262" spans="1:15" ht="12.3">
      <c r="A262" s="23"/>
      <c r="E262" s="670"/>
      <c r="F262" s="670"/>
      <c r="O262" s="672"/>
    </row>
    <row r="263" spans="1:15" ht="12.3">
      <c r="A263" s="23"/>
      <c r="E263" s="670"/>
      <c r="F263" s="670"/>
      <c r="O263" s="672"/>
    </row>
    <row r="264" spans="1:15" ht="12.3">
      <c r="A264" s="23"/>
      <c r="E264" s="670"/>
      <c r="F264" s="670"/>
      <c r="O264" s="672"/>
    </row>
    <row r="265" spans="1:15" ht="12.3">
      <c r="A265" s="23"/>
      <c r="E265" s="670"/>
      <c r="F265" s="670"/>
      <c r="O265" s="672"/>
    </row>
    <row r="266" spans="1:15" ht="12.3">
      <c r="A266" s="23"/>
      <c r="E266" s="670"/>
      <c r="F266" s="670"/>
      <c r="O266" s="672"/>
    </row>
    <row r="267" spans="1:15" ht="12.3">
      <c r="A267" s="23"/>
      <c r="E267" s="670"/>
      <c r="F267" s="670"/>
      <c r="O267" s="672"/>
    </row>
    <row r="268" spans="1:15" ht="12.3">
      <c r="A268" s="23"/>
      <c r="E268" s="670"/>
      <c r="F268" s="670"/>
      <c r="O268" s="672"/>
    </row>
    <row r="269" spans="1:15" ht="12.3">
      <c r="A269" s="23"/>
      <c r="E269" s="670"/>
      <c r="F269" s="670"/>
      <c r="O269" s="672"/>
    </row>
    <row r="270" spans="1:15" ht="12.3">
      <c r="A270" s="23"/>
      <c r="E270" s="670"/>
      <c r="F270" s="670"/>
      <c r="O270" s="672"/>
    </row>
    <row r="271" spans="1:15" ht="12.3">
      <c r="A271" s="23"/>
      <c r="E271" s="670"/>
      <c r="F271" s="670"/>
      <c r="O271" s="672"/>
    </row>
    <row r="272" spans="1:15" ht="12.3">
      <c r="A272" s="23"/>
      <c r="E272" s="670"/>
      <c r="F272" s="670"/>
      <c r="O272" s="672"/>
    </row>
    <row r="273" spans="1:15" ht="12.3">
      <c r="A273" s="23"/>
      <c r="E273" s="670"/>
      <c r="F273" s="670"/>
      <c r="O273" s="672"/>
    </row>
    <row r="274" spans="1:15" ht="12.3">
      <c r="A274" s="23"/>
      <c r="E274" s="670"/>
      <c r="F274" s="670"/>
      <c r="O274" s="672"/>
    </row>
    <row r="275" spans="1:15" ht="12.3">
      <c r="A275" s="23"/>
      <c r="E275" s="670"/>
      <c r="F275" s="670"/>
      <c r="O275" s="672"/>
    </row>
    <row r="276" spans="1:15" ht="12.3">
      <c r="A276" s="23"/>
      <c r="E276" s="670"/>
      <c r="F276" s="670"/>
      <c r="O276" s="672"/>
    </row>
    <row r="277" spans="1:15" ht="12.3">
      <c r="A277" s="23"/>
      <c r="E277" s="670"/>
      <c r="F277" s="670"/>
      <c r="O277" s="672"/>
    </row>
    <row r="278" spans="1:15" ht="12.3">
      <c r="A278" s="23"/>
      <c r="E278" s="670"/>
      <c r="F278" s="670"/>
      <c r="O278" s="672"/>
    </row>
    <row r="279" spans="1:15" ht="12.3">
      <c r="A279" s="23"/>
      <c r="E279" s="670"/>
      <c r="F279" s="670"/>
      <c r="O279" s="672"/>
    </row>
    <row r="280" spans="1:15" ht="12.3">
      <c r="A280" s="23"/>
      <c r="E280" s="670"/>
      <c r="F280" s="670"/>
      <c r="O280" s="672"/>
    </row>
    <row r="281" spans="1:15" ht="12.3">
      <c r="A281" s="23"/>
      <c r="E281" s="670"/>
      <c r="F281" s="670"/>
      <c r="O281" s="672"/>
    </row>
    <row r="282" spans="1:15" ht="12.3">
      <c r="A282" s="23"/>
      <c r="E282" s="670"/>
      <c r="F282" s="670"/>
      <c r="O282" s="672"/>
    </row>
    <row r="283" spans="1:15" ht="12.3">
      <c r="A283" s="23"/>
      <c r="E283" s="670"/>
      <c r="F283" s="670"/>
      <c r="O283" s="672"/>
    </row>
    <row r="284" spans="1:15" ht="12.3">
      <c r="A284" s="23"/>
      <c r="E284" s="670"/>
      <c r="F284" s="670"/>
      <c r="O284" s="672"/>
    </row>
    <row r="285" spans="1:15" ht="12.3">
      <c r="A285" s="23"/>
      <c r="E285" s="670"/>
      <c r="F285" s="670"/>
      <c r="O285" s="672"/>
    </row>
    <row r="286" spans="1:15" ht="12.3">
      <c r="A286" s="23"/>
      <c r="E286" s="670"/>
      <c r="F286" s="670"/>
      <c r="O286" s="672"/>
    </row>
    <row r="287" spans="1:15" ht="12.3">
      <c r="A287" s="23"/>
      <c r="E287" s="670"/>
      <c r="F287" s="670"/>
      <c r="O287" s="672"/>
    </row>
    <row r="288" spans="1:15" ht="12.3">
      <c r="A288" s="23"/>
      <c r="E288" s="670"/>
      <c r="F288" s="670"/>
      <c r="O288" s="672"/>
    </row>
    <row r="289" spans="1:15" ht="12.3">
      <c r="A289" s="23"/>
      <c r="E289" s="670"/>
      <c r="F289" s="670"/>
      <c r="O289" s="672"/>
    </row>
    <row r="290" spans="1:15" ht="12.3">
      <c r="A290" s="23"/>
      <c r="E290" s="670"/>
      <c r="F290" s="670"/>
      <c r="O290" s="672"/>
    </row>
    <row r="291" spans="1:15" ht="12.3">
      <c r="A291" s="23"/>
      <c r="E291" s="670"/>
      <c r="F291" s="670"/>
      <c r="O291" s="672"/>
    </row>
    <row r="292" spans="1:15" ht="12.3">
      <c r="A292" s="23"/>
      <c r="E292" s="670"/>
      <c r="F292" s="670"/>
      <c r="O292" s="672"/>
    </row>
    <row r="293" spans="1:15" ht="12.3">
      <c r="A293" s="23"/>
      <c r="E293" s="670"/>
      <c r="F293" s="670"/>
      <c r="O293" s="672"/>
    </row>
    <row r="294" spans="1:15" ht="12.3">
      <c r="A294" s="23"/>
      <c r="E294" s="670"/>
      <c r="F294" s="670"/>
      <c r="O294" s="672"/>
    </row>
    <row r="295" spans="1:15" ht="12.3">
      <c r="A295" s="23"/>
      <c r="E295" s="670"/>
      <c r="F295" s="670"/>
      <c r="O295" s="672"/>
    </row>
    <row r="296" spans="1:15" ht="12.3">
      <c r="A296" s="23"/>
      <c r="E296" s="670"/>
      <c r="F296" s="670"/>
      <c r="O296" s="672"/>
    </row>
    <row r="297" spans="1:15" ht="12.3">
      <c r="A297" s="23"/>
      <c r="E297" s="670"/>
      <c r="F297" s="670"/>
      <c r="O297" s="672"/>
    </row>
    <row r="298" spans="1:15" ht="12.3">
      <c r="A298" s="23"/>
      <c r="E298" s="670"/>
      <c r="F298" s="670"/>
      <c r="O298" s="672"/>
    </row>
    <row r="299" spans="1:15" ht="12.3">
      <c r="A299" s="23"/>
      <c r="E299" s="670"/>
      <c r="F299" s="670"/>
      <c r="O299" s="672"/>
    </row>
    <row r="300" spans="1:15" ht="12.3">
      <c r="A300" s="23"/>
      <c r="E300" s="670"/>
      <c r="F300" s="670"/>
      <c r="O300" s="672"/>
    </row>
    <row r="301" spans="1:15" ht="12.3">
      <c r="A301" s="23"/>
      <c r="E301" s="670"/>
      <c r="F301" s="670"/>
      <c r="O301" s="672"/>
    </row>
    <row r="302" spans="1:15" ht="12.3">
      <c r="A302" s="23"/>
      <c r="E302" s="670"/>
      <c r="F302" s="670"/>
      <c r="O302" s="672"/>
    </row>
    <row r="303" spans="1:15" ht="12.3">
      <c r="A303" s="23"/>
      <c r="E303" s="670"/>
      <c r="F303" s="670"/>
      <c r="O303" s="672"/>
    </row>
    <row r="304" spans="1:15" ht="12.3">
      <c r="A304" s="23"/>
      <c r="E304" s="670"/>
      <c r="F304" s="670"/>
      <c r="O304" s="672"/>
    </row>
    <row r="305" spans="1:15" ht="12.3">
      <c r="A305" s="23"/>
      <c r="E305" s="670"/>
      <c r="F305" s="670"/>
      <c r="O305" s="672"/>
    </row>
    <row r="306" spans="1:15" ht="12.3">
      <c r="A306" s="23"/>
      <c r="E306" s="670"/>
      <c r="F306" s="670"/>
      <c r="O306" s="672"/>
    </row>
    <row r="307" spans="1:15" ht="12.3">
      <c r="A307" s="23"/>
      <c r="E307" s="670"/>
      <c r="F307" s="670"/>
      <c r="O307" s="672"/>
    </row>
    <row r="308" spans="1:15" ht="12.3">
      <c r="A308" s="23"/>
      <c r="E308" s="670"/>
      <c r="F308" s="670"/>
      <c r="O308" s="672"/>
    </row>
    <row r="309" spans="1:15" ht="12.3">
      <c r="A309" s="23"/>
      <c r="E309" s="670"/>
      <c r="F309" s="670"/>
      <c r="O309" s="672"/>
    </row>
    <row r="310" spans="1:15" ht="12.3">
      <c r="A310" s="23"/>
      <c r="E310" s="670"/>
      <c r="F310" s="670"/>
      <c r="O310" s="672"/>
    </row>
    <row r="311" spans="1:15" ht="12.3">
      <c r="A311" s="23"/>
      <c r="E311" s="670"/>
      <c r="F311" s="670"/>
      <c r="O311" s="672"/>
    </row>
    <row r="312" spans="1:15" ht="12.3">
      <c r="A312" s="23"/>
      <c r="E312" s="670"/>
      <c r="F312" s="670"/>
      <c r="O312" s="672"/>
    </row>
    <row r="313" spans="1:15" ht="12.3">
      <c r="A313" s="23"/>
      <c r="E313" s="670"/>
      <c r="F313" s="670"/>
      <c r="O313" s="672"/>
    </row>
    <row r="314" spans="1:15" ht="12.3">
      <c r="A314" s="23"/>
      <c r="E314" s="670"/>
      <c r="F314" s="670"/>
      <c r="O314" s="672"/>
    </row>
    <row r="315" spans="1:15" ht="12.3">
      <c r="A315" s="23"/>
      <c r="E315" s="670"/>
      <c r="F315" s="670"/>
      <c r="O315" s="672"/>
    </row>
    <row r="316" spans="1:15" ht="12.3">
      <c r="A316" s="23"/>
      <c r="E316" s="670"/>
      <c r="F316" s="670"/>
      <c r="O316" s="672"/>
    </row>
    <row r="317" spans="1:15" ht="12.3">
      <c r="A317" s="23"/>
      <c r="E317" s="670"/>
      <c r="F317" s="670"/>
      <c r="O317" s="672"/>
    </row>
    <row r="318" spans="1:15" ht="12.3">
      <c r="A318" s="23"/>
      <c r="E318" s="670"/>
      <c r="F318" s="670"/>
      <c r="O318" s="672"/>
    </row>
    <row r="319" spans="1:15" ht="12.3">
      <c r="A319" s="23"/>
      <c r="E319" s="670"/>
      <c r="F319" s="670"/>
      <c r="O319" s="672"/>
    </row>
    <row r="320" spans="1:15" ht="12.3">
      <c r="A320" s="23"/>
      <c r="E320" s="670"/>
      <c r="F320" s="670"/>
      <c r="O320" s="672"/>
    </row>
    <row r="321" spans="1:15" ht="12.3">
      <c r="A321" s="23"/>
      <c r="E321" s="670"/>
      <c r="F321" s="670"/>
      <c r="O321" s="672"/>
    </row>
    <row r="322" spans="1:15" ht="12.3">
      <c r="A322" s="23"/>
      <c r="E322" s="670"/>
      <c r="F322" s="670"/>
      <c r="O322" s="672"/>
    </row>
    <row r="323" spans="1:15" ht="12.3">
      <c r="A323" s="23"/>
      <c r="E323" s="670"/>
      <c r="F323" s="670"/>
      <c r="O323" s="672"/>
    </row>
    <row r="324" spans="1:15" ht="12.3">
      <c r="A324" s="23"/>
      <c r="E324" s="670"/>
      <c r="F324" s="670"/>
      <c r="O324" s="672"/>
    </row>
    <row r="325" spans="1:15" ht="12.3">
      <c r="A325" s="23"/>
      <c r="E325" s="670"/>
      <c r="F325" s="670"/>
      <c r="O325" s="672"/>
    </row>
    <row r="326" spans="1:15" ht="12.3">
      <c r="A326" s="23"/>
      <c r="E326" s="670"/>
      <c r="F326" s="670"/>
      <c r="O326" s="672"/>
    </row>
    <row r="327" spans="1:15" ht="12.3">
      <c r="A327" s="23"/>
      <c r="E327" s="670"/>
      <c r="F327" s="670"/>
      <c r="O327" s="672"/>
    </row>
    <row r="328" spans="1:15" ht="12.3">
      <c r="A328" s="23"/>
      <c r="E328" s="670"/>
      <c r="F328" s="670"/>
      <c r="O328" s="672"/>
    </row>
    <row r="329" spans="1:15" ht="12.3">
      <c r="A329" s="23"/>
      <c r="E329" s="670"/>
      <c r="F329" s="670"/>
      <c r="O329" s="672"/>
    </row>
    <row r="330" spans="1:15" ht="12.3">
      <c r="A330" s="23"/>
      <c r="E330" s="670"/>
      <c r="F330" s="670"/>
      <c r="O330" s="672"/>
    </row>
    <row r="331" spans="1:15" ht="12.3">
      <c r="A331" s="23"/>
      <c r="E331" s="670"/>
      <c r="F331" s="670"/>
      <c r="O331" s="672"/>
    </row>
    <row r="332" spans="1:15" ht="12.3">
      <c r="A332" s="23"/>
      <c r="E332" s="670"/>
      <c r="F332" s="670"/>
      <c r="O332" s="672"/>
    </row>
    <row r="333" spans="1:15" ht="12.3">
      <c r="A333" s="23"/>
      <c r="E333" s="670"/>
      <c r="F333" s="670"/>
      <c r="O333" s="672"/>
    </row>
    <row r="334" spans="1:15" ht="12.3">
      <c r="A334" s="23"/>
      <c r="E334" s="670"/>
      <c r="F334" s="670"/>
      <c r="O334" s="672"/>
    </row>
    <row r="335" spans="1:15" ht="12.3">
      <c r="A335" s="23"/>
      <c r="E335" s="670"/>
      <c r="F335" s="670"/>
      <c r="O335" s="672"/>
    </row>
    <row r="336" spans="1:15" ht="12.3">
      <c r="A336" s="23"/>
      <c r="E336" s="670"/>
      <c r="F336" s="670"/>
      <c r="O336" s="672"/>
    </row>
    <row r="337" spans="1:15" ht="12.3">
      <c r="A337" s="23"/>
      <c r="E337" s="670"/>
      <c r="F337" s="670"/>
      <c r="O337" s="672"/>
    </row>
    <row r="338" spans="1:15" ht="12.3">
      <c r="A338" s="23"/>
      <c r="E338" s="670"/>
      <c r="F338" s="670"/>
      <c r="O338" s="672"/>
    </row>
    <row r="339" spans="1:15" ht="12.3">
      <c r="A339" s="23"/>
      <c r="E339" s="670"/>
      <c r="F339" s="670"/>
      <c r="O339" s="672"/>
    </row>
    <row r="340" spans="1:15" ht="12.3">
      <c r="A340" s="23"/>
      <c r="E340" s="670"/>
      <c r="F340" s="670"/>
      <c r="O340" s="672"/>
    </row>
    <row r="341" spans="1:15" ht="12.3">
      <c r="A341" s="23"/>
      <c r="E341" s="670"/>
      <c r="F341" s="670"/>
      <c r="O341" s="672"/>
    </row>
    <row r="342" spans="1:15" ht="12.3">
      <c r="A342" s="23"/>
      <c r="E342" s="670"/>
      <c r="F342" s="670"/>
      <c r="O342" s="672"/>
    </row>
    <row r="343" spans="1:15" ht="12.3">
      <c r="A343" s="23"/>
      <c r="E343" s="670"/>
      <c r="F343" s="670"/>
      <c r="O343" s="672"/>
    </row>
    <row r="344" spans="1:15" ht="12.3">
      <c r="A344" s="23"/>
      <c r="E344" s="670"/>
      <c r="F344" s="670"/>
      <c r="O344" s="672"/>
    </row>
    <row r="345" spans="1:15" ht="12.3">
      <c r="A345" s="23"/>
      <c r="E345" s="670"/>
      <c r="F345" s="670"/>
      <c r="O345" s="672"/>
    </row>
    <row r="346" spans="1:15" ht="12.3">
      <c r="A346" s="23"/>
      <c r="E346" s="670"/>
      <c r="F346" s="670"/>
      <c r="O346" s="672"/>
    </row>
    <row r="347" spans="1:15" ht="12.3">
      <c r="A347" s="23"/>
      <c r="E347" s="670"/>
      <c r="F347" s="670"/>
      <c r="O347" s="672"/>
    </row>
    <row r="348" spans="1:15" ht="12.3">
      <c r="A348" s="23"/>
      <c r="E348" s="670"/>
      <c r="F348" s="670"/>
      <c r="O348" s="672"/>
    </row>
    <row r="349" spans="1:15" ht="12.3">
      <c r="A349" s="23"/>
      <c r="E349" s="670"/>
      <c r="F349" s="670"/>
      <c r="O349" s="672"/>
    </row>
    <row r="350" spans="1:15" ht="12.3">
      <c r="A350" s="23"/>
      <c r="E350" s="670"/>
      <c r="F350" s="670"/>
      <c r="O350" s="672"/>
    </row>
    <row r="351" spans="1:15" ht="12.3">
      <c r="A351" s="23"/>
      <c r="E351" s="670"/>
      <c r="F351" s="670"/>
      <c r="O351" s="672"/>
    </row>
    <row r="352" spans="1:15" ht="12.3">
      <c r="A352" s="23"/>
      <c r="E352" s="670"/>
      <c r="F352" s="670"/>
      <c r="O352" s="672"/>
    </row>
    <row r="353" spans="1:15" ht="12.3">
      <c r="A353" s="23"/>
      <c r="E353" s="670"/>
      <c r="F353" s="670"/>
      <c r="O353" s="672"/>
    </row>
    <row r="354" spans="1:15" ht="12.3">
      <c r="A354" s="23"/>
      <c r="E354" s="670"/>
      <c r="F354" s="670"/>
      <c r="O354" s="672"/>
    </row>
    <row r="355" spans="1:15" ht="12.3">
      <c r="A355" s="23"/>
      <c r="E355" s="670"/>
      <c r="F355" s="670"/>
      <c r="O355" s="672"/>
    </row>
    <row r="356" spans="1:15" ht="12.3">
      <c r="A356" s="23"/>
      <c r="E356" s="670"/>
      <c r="F356" s="670"/>
      <c r="O356" s="672"/>
    </row>
    <row r="357" spans="1:15" ht="12.3">
      <c r="A357" s="23"/>
      <c r="E357" s="670"/>
      <c r="F357" s="670"/>
      <c r="O357" s="672"/>
    </row>
    <row r="358" spans="1:15" ht="12.3">
      <c r="A358" s="23"/>
      <c r="E358" s="670"/>
      <c r="F358" s="670"/>
      <c r="O358" s="672"/>
    </row>
    <row r="359" spans="1:15" ht="12.3">
      <c r="A359" s="23"/>
      <c r="E359" s="670"/>
      <c r="F359" s="670"/>
      <c r="O359" s="672"/>
    </row>
    <row r="360" spans="1:15" ht="12.3">
      <c r="A360" s="23"/>
      <c r="E360" s="670"/>
      <c r="F360" s="670"/>
      <c r="O360" s="672"/>
    </row>
    <row r="361" spans="1:15" ht="12.3">
      <c r="A361" s="23"/>
      <c r="E361" s="670"/>
      <c r="F361" s="670"/>
      <c r="O361" s="672"/>
    </row>
    <row r="362" spans="1:15" ht="12.3">
      <c r="A362" s="23"/>
      <c r="E362" s="670"/>
      <c r="F362" s="670"/>
      <c r="O362" s="672"/>
    </row>
    <row r="363" spans="1:15" ht="12.3">
      <c r="A363" s="23"/>
      <c r="E363" s="670"/>
      <c r="F363" s="670"/>
      <c r="O363" s="672"/>
    </row>
    <row r="364" spans="1:15" ht="12.3">
      <c r="A364" s="23"/>
      <c r="E364" s="670"/>
      <c r="F364" s="670"/>
      <c r="O364" s="672"/>
    </row>
    <row r="365" spans="1:15" ht="12.3">
      <c r="A365" s="23"/>
      <c r="E365" s="670"/>
      <c r="F365" s="670"/>
      <c r="O365" s="672"/>
    </row>
    <row r="366" spans="1:15" ht="12.3">
      <c r="A366" s="23"/>
      <c r="E366" s="670"/>
      <c r="F366" s="670"/>
      <c r="O366" s="672"/>
    </row>
    <row r="367" spans="1:15" ht="12.3">
      <c r="A367" s="23"/>
      <c r="E367" s="670"/>
      <c r="F367" s="670"/>
      <c r="O367" s="672"/>
    </row>
    <row r="368" spans="1:15" ht="12.3">
      <c r="A368" s="23"/>
      <c r="E368" s="670"/>
      <c r="F368" s="670"/>
      <c r="O368" s="672"/>
    </row>
    <row r="369" spans="1:15" ht="12.3">
      <c r="A369" s="23"/>
      <c r="E369" s="670"/>
      <c r="F369" s="670"/>
      <c r="O369" s="672"/>
    </row>
    <row r="370" spans="1:15" ht="12.3">
      <c r="A370" s="23"/>
      <c r="E370" s="670"/>
      <c r="F370" s="670"/>
      <c r="O370" s="672"/>
    </row>
    <row r="371" spans="1:15" ht="12.3">
      <c r="A371" s="23"/>
      <c r="E371" s="670"/>
      <c r="F371" s="670"/>
      <c r="O371" s="672"/>
    </row>
    <row r="372" spans="1:15" ht="12.3">
      <c r="A372" s="23"/>
      <c r="E372" s="670"/>
      <c r="F372" s="670"/>
      <c r="O372" s="672"/>
    </row>
    <row r="373" spans="1:15" ht="12.3">
      <c r="A373" s="23"/>
      <c r="E373" s="670"/>
      <c r="F373" s="670"/>
      <c r="O373" s="672"/>
    </row>
    <row r="374" spans="1:15" ht="12.3">
      <c r="A374" s="23"/>
      <c r="E374" s="670"/>
      <c r="F374" s="670"/>
      <c r="O374" s="672"/>
    </row>
    <row r="375" spans="1:15" ht="12.3">
      <c r="A375" s="23"/>
      <c r="E375" s="670"/>
      <c r="F375" s="670"/>
      <c r="O375" s="672"/>
    </row>
    <row r="376" spans="1:15" ht="12.3">
      <c r="A376" s="23"/>
      <c r="E376" s="670"/>
      <c r="F376" s="670"/>
      <c r="O376" s="672"/>
    </row>
    <row r="377" spans="1:15" ht="12.3">
      <c r="A377" s="23"/>
      <c r="E377" s="670"/>
      <c r="F377" s="670"/>
      <c r="O377" s="672"/>
    </row>
    <row r="378" spans="1:15" ht="12.3">
      <c r="A378" s="23"/>
      <c r="E378" s="670"/>
      <c r="F378" s="670"/>
      <c r="O378" s="672"/>
    </row>
    <row r="379" spans="1:15" ht="12.3">
      <c r="A379" s="23"/>
      <c r="E379" s="670"/>
      <c r="F379" s="670"/>
      <c r="O379" s="672"/>
    </row>
    <row r="380" spans="1:15" ht="12.3">
      <c r="A380" s="23"/>
      <c r="E380" s="670"/>
      <c r="F380" s="670"/>
      <c r="O380" s="672"/>
    </row>
    <row r="381" spans="1:15" ht="12.3">
      <c r="A381" s="23"/>
      <c r="E381" s="670"/>
      <c r="F381" s="670"/>
      <c r="O381" s="672"/>
    </row>
    <row r="382" spans="1:15" ht="12.3">
      <c r="A382" s="23"/>
      <c r="E382" s="670"/>
      <c r="F382" s="670"/>
      <c r="O382" s="672"/>
    </row>
    <row r="383" spans="1:15" ht="12.3">
      <c r="A383" s="23"/>
      <c r="E383" s="670"/>
      <c r="F383" s="670"/>
      <c r="O383" s="672"/>
    </row>
    <row r="384" spans="1:15" ht="12.3">
      <c r="A384" s="23"/>
      <c r="E384" s="670"/>
      <c r="F384" s="670"/>
      <c r="O384" s="672"/>
    </row>
    <row r="385" spans="1:15" ht="12.3">
      <c r="A385" s="23"/>
      <c r="E385" s="670"/>
      <c r="F385" s="670"/>
      <c r="O385" s="672"/>
    </row>
    <row r="386" spans="1:15" ht="12.3">
      <c r="A386" s="23"/>
      <c r="E386" s="670"/>
      <c r="F386" s="670"/>
      <c r="O386" s="672"/>
    </row>
    <row r="387" spans="1:15" ht="12.3">
      <c r="A387" s="23"/>
      <c r="E387" s="670"/>
      <c r="F387" s="670"/>
      <c r="O387" s="672"/>
    </row>
    <row r="388" spans="1:15" ht="12.3">
      <c r="A388" s="23"/>
      <c r="E388" s="670"/>
      <c r="F388" s="670"/>
      <c r="O388" s="672"/>
    </row>
    <row r="389" spans="1:15" ht="12.3">
      <c r="A389" s="23"/>
      <c r="E389" s="670"/>
      <c r="F389" s="670"/>
      <c r="O389" s="672"/>
    </row>
    <row r="390" spans="1:15" ht="12.3">
      <c r="A390" s="23"/>
      <c r="E390" s="670"/>
      <c r="F390" s="670"/>
      <c r="O390" s="672"/>
    </row>
    <row r="391" spans="1:15" ht="12.3">
      <c r="A391" s="23"/>
      <c r="E391" s="670"/>
      <c r="F391" s="670"/>
      <c r="O391" s="672"/>
    </row>
    <row r="392" spans="1:15" ht="12.3">
      <c r="A392" s="23"/>
      <c r="E392" s="670"/>
      <c r="F392" s="670"/>
      <c r="O392" s="672"/>
    </row>
    <row r="393" spans="1:15" ht="12.3">
      <c r="A393" s="23"/>
      <c r="E393" s="670"/>
      <c r="F393" s="670"/>
      <c r="O393" s="672"/>
    </row>
    <row r="394" spans="1:15" ht="12.3">
      <c r="A394" s="23"/>
      <c r="E394" s="670"/>
      <c r="F394" s="670"/>
      <c r="O394" s="672"/>
    </row>
    <row r="395" spans="1:15" ht="12.3">
      <c r="A395" s="23"/>
      <c r="E395" s="670"/>
      <c r="F395" s="670"/>
      <c r="O395" s="672"/>
    </row>
    <row r="396" spans="1:15" ht="12.3">
      <c r="A396" s="23"/>
      <c r="E396" s="670"/>
      <c r="F396" s="670"/>
      <c r="O396" s="672"/>
    </row>
    <row r="397" spans="1:15" ht="12.3">
      <c r="A397" s="23"/>
      <c r="E397" s="670"/>
      <c r="F397" s="670"/>
      <c r="O397" s="672"/>
    </row>
    <row r="398" spans="1:15" ht="12.3">
      <c r="A398" s="23"/>
      <c r="E398" s="670"/>
      <c r="F398" s="670"/>
      <c r="O398" s="672"/>
    </row>
    <row r="399" spans="1:15" ht="12.3">
      <c r="A399" s="23"/>
      <c r="E399" s="670"/>
      <c r="F399" s="670"/>
      <c r="O399" s="672"/>
    </row>
    <row r="400" spans="1:15" ht="12.3">
      <c r="A400" s="23"/>
      <c r="E400" s="670"/>
      <c r="F400" s="670"/>
      <c r="O400" s="672"/>
    </row>
    <row r="401" spans="1:15" ht="12.3">
      <c r="A401" s="23"/>
      <c r="E401" s="670"/>
      <c r="F401" s="670"/>
      <c r="O401" s="672"/>
    </row>
    <row r="402" spans="1:15" ht="12.3">
      <c r="A402" s="23"/>
      <c r="E402" s="670"/>
      <c r="F402" s="670"/>
      <c r="O402" s="672"/>
    </row>
    <row r="403" spans="1:15" ht="12.3">
      <c r="A403" s="23"/>
      <c r="E403" s="670"/>
      <c r="F403" s="670"/>
      <c r="O403" s="672"/>
    </row>
    <row r="404" spans="1:15" ht="12.3">
      <c r="A404" s="23"/>
      <c r="E404" s="670"/>
      <c r="F404" s="670"/>
      <c r="O404" s="672"/>
    </row>
    <row r="405" spans="1:15" ht="12.3">
      <c r="A405" s="23"/>
      <c r="E405" s="670"/>
      <c r="F405" s="670"/>
      <c r="O405" s="672"/>
    </row>
    <row r="406" spans="1:15" ht="12.3">
      <c r="A406" s="23"/>
      <c r="E406" s="670"/>
      <c r="F406" s="670"/>
      <c r="O406" s="672"/>
    </row>
    <row r="407" spans="1:15" ht="12.3">
      <c r="A407" s="23"/>
      <c r="E407" s="670"/>
      <c r="F407" s="670"/>
      <c r="O407" s="672"/>
    </row>
    <row r="408" spans="1:15" ht="12.3">
      <c r="A408" s="23"/>
      <c r="E408" s="670"/>
      <c r="F408" s="670"/>
      <c r="O408" s="672"/>
    </row>
    <row r="409" spans="1:15" ht="12.3">
      <c r="A409" s="23"/>
      <c r="E409" s="670"/>
      <c r="F409" s="670"/>
      <c r="O409" s="672"/>
    </row>
    <row r="410" spans="1:15" ht="12.3">
      <c r="A410" s="23"/>
      <c r="E410" s="670"/>
      <c r="F410" s="670"/>
      <c r="O410" s="672"/>
    </row>
    <row r="411" spans="1:15" ht="12.3">
      <c r="A411" s="23"/>
      <c r="E411" s="670"/>
      <c r="F411" s="670"/>
      <c r="O411" s="672"/>
    </row>
    <row r="412" spans="1:15" ht="12.3">
      <c r="A412" s="23"/>
      <c r="E412" s="670"/>
      <c r="F412" s="670"/>
      <c r="O412" s="672"/>
    </row>
    <row r="413" spans="1:15" ht="12.3">
      <c r="A413" s="23"/>
      <c r="E413" s="670"/>
      <c r="F413" s="670"/>
      <c r="O413" s="672"/>
    </row>
    <row r="414" spans="1:15" ht="12.3">
      <c r="A414" s="23"/>
      <c r="E414" s="670"/>
      <c r="F414" s="670"/>
      <c r="O414" s="672"/>
    </row>
    <row r="415" spans="1:15" ht="12.3">
      <c r="A415" s="23"/>
      <c r="E415" s="670"/>
      <c r="F415" s="670"/>
      <c r="O415" s="672"/>
    </row>
    <row r="416" spans="1:15" ht="12.3">
      <c r="A416" s="23"/>
      <c r="E416" s="670"/>
      <c r="F416" s="670"/>
      <c r="O416" s="672"/>
    </row>
    <row r="417" spans="1:15" ht="12.3">
      <c r="A417" s="23"/>
      <c r="E417" s="670"/>
      <c r="F417" s="670"/>
      <c r="O417" s="672"/>
    </row>
    <row r="418" spans="1:15" ht="12.3">
      <c r="A418" s="23"/>
      <c r="E418" s="670"/>
      <c r="F418" s="670"/>
      <c r="O418" s="672"/>
    </row>
    <row r="419" spans="1:15" ht="12.3">
      <c r="A419" s="23"/>
      <c r="E419" s="670"/>
      <c r="F419" s="670"/>
      <c r="O419" s="672"/>
    </row>
    <row r="420" spans="1:15" ht="12.3">
      <c r="A420" s="23"/>
      <c r="E420" s="670"/>
      <c r="F420" s="670"/>
      <c r="O420" s="672"/>
    </row>
    <row r="421" spans="1:15" ht="12.3">
      <c r="A421" s="23"/>
      <c r="E421" s="670"/>
      <c r="F421" s="670"/>
      <c r="O421" s="672"/>
    </row>
    <row r="422" spans="1:15" ht="12.3">
      <c r="A422" s="23"/>
      <c r="E422" s="670"/>
      <c r="F422" s="670"/>
      <c r="O422" s="672"/>
    </row>
    <row r="423" spans="1:15" ht="12.3">
      <c r="A423" s="23"/>
      <c r="E423" s="670"/>
      <c r="F423" s="670"/>
      <c r="O423" s="672"/>
    </row>
    <row r="424" spans="1:15" ht="12.3">
      <c r="A424" s="23"/>
      <c r="E424" s="670"/>
      <c r="F424" s="670"/>
      <c r="O424" s="672"/>
    </row>
    <row r="425" spans="1:15" ht="12.3">
      <c r="A425" s="23"/>
      <c r="E425" s="670"/>
      <c r="F425" s="670"/>
      <c r="O425" s="672"/>
    </row>
    <row r="426" spans="1:15" ht="12.3">
      <c r="A426" s="23"/>
      <c r="E426" s="670"/>
      <c r="F426" s="670"/>
      <c r="O426" s="672"/>
    </row>
    <row r="427" spans="1:15" ht="12.3">
      <c r="A427" s="23"/>
      <c r="E427" s="670"/>
      <c r="F427" s="670"/>
      <c r="O427" s="672"/>
    </row>
    <row r="428" spans="1:15" ht="12.3">
      <c r="A428" s="23"/>
      <c r="E428" s="670"/>
      <c r="F428" s="670"/>
      <c r="O428" s="672"/>
    </row>
    <row r="429" spans="1:15" ht="12.3">
      <c r="A429" s="23"/>
      <c r="E429" s="670"/>
      <c r="F429" s="670"/>
      <c r="O429" s="672"/>
    </row>
    <row r="430" spans="1:15" ht="12.3">
      <c r="A430" s="23"/>
      <c r="E430" s="670"/>
      <c r="F430" s="670"/>
      <c r="O430" s="672"/>
    </row>
    <row r="431" spans="1:15" ht="12.3">
      <c r="A431" s="23"/>
      <c r="E431" s="670"/>
      <c r="F431" s="670"/>
      <c r="O431" s="672"/>
    </row>
    <row r="432" spans="1:15" ht="12.3">
      <c r="A432" s="23"/>
      <c r="E432" s="670"/>
      <c r="F432" s="670"/>
      <c r="O432" s="672"/>
    </row>
    <row r="433" spans="1:15" ht="12.3">
      <c r="A433" s="23"/>
      <c r="E433" s="670"/>
      <c r="F433" s="670"/>
      <c r="O433" s="672"/>
    </row>
    <row r="434" spans="1:15" ht="12.3">
      <c r="A434" s="23"/>
      <c r="E434" s="670"/>
      <c r="F434" s="670"/>
      <c r="O434" s="672"/>
    </row>
    <row r="435" spans="1:15" ht="12.3">
      <c r="A435" s="23"/>
      <c r="E435" s="670"/>
      <c r="F435" s="670"/>
      <c r="O435" s="672"/>
    </row>
    <row r="436" spans="1:15" ht="12.3">
      <c r="A436" s="23"/>
      <c r="E436" s="670"/>
      <c r="F436" s="670"/>
      <c r="O436" s="672"/>
    </row>
    <row r="437" spans="1:15" ht="12.3">
      <c r="A437" s="23"/>
      <c r="E437" s="670"/>
      <c r="F437" s="670"/>
      <c r="O437" s="672"/>
    </row>
    <row r="438" spans="1:15" ht="12.3">
      <c r="A438" s="23"/>
      <c r="E438" s="670"/>
      <c r="F438" s="670"/>
      <c r="O438" s="672"/>
    </row>
    <row r="439" spans="1:15" ht="12.3">
      <c r="A439" s="23"/>
      <c r="E439" s="670"/>
      <c r="F439" s="670"/>
      <c r="O439" s="672"/>
    </row>
    <row r="440" spans="1:15" ht="12.3">
      <c r="A440" s="23"/>
      <c r="E440" s="670"/>
      <c r="F440" s="670"/>
      <c r="O440" s="672"/>
    </row>
    <row r="441" spans="1:15" ht="12.3">
      <c r="A441" s="23"/>
      <c r="E441" s="670"/>
      <c r="F441" s="670"/>
      <c r="O441" s="672"/>
    </row>
    <row r="442" spans="1:15" ht="12.3">
      <c r="A442" s="23"/>
      <c r="E442" s="670"/>
      <c r="F442" s="670"/>
      <c r="O442" s="672"/>
    </row>
    <row r="443" spans="1:15" ht="12.3">
      <c r="A443" s="23"/>
      <c r="E443" s="670"/>
      <c r="F443" s="670"/>
      <c r="O443" s="672"/>
    </row>
    <row r="444" spans="1:15" ht="12.3">
      <c r="A444" s="23"/>
      <c r="E444" s="670"/>
      <c r="F444" s="670"/>
      <c r="O444" s="672"/>
    </row>
    <row r="445" spans="1:15" ht="12.3">
      <c r="A445" s="23"/>
      <c r="E445" s="670"/>
      <c r="F445" s="670"/>
      <c r="O445" s="672"/>
    </row>
    <row r="446" spans="1:15" ht="12.3">
      <c r="A446" s="23"/>
      <c r="E446" s="670"/>
      <c r="F446" s="670"/>
      <c r="O446" s="672"/>
    </row>
    <row r="447" spans="1:15" ht="12.3">
      <c r="A447" s="23"/>
      <c r="E447" s="670"/>
      <c r="F447" s="670"/>
      <c r="O447" s="672"/>
    </row>
    <row r="448" spans="1:15" ht="12.3">
      <c r="A448" s="23"/>
      <c r="E448" s="670"/>
      <c r="F448" s="670"/>
      <c r="O448" s="672"/>
    </row>
    <row r="449" spans="1:15" ht="12.3">
      <c r="A449" s="23"/>
      <c r="E449" s="670"/>
      <c r="F449" s="670"/>
      <c r="O449" s="672"/>
    </row>
    <row r="450" spans="1:15" ht="12.3">
      <c r="A450" s="23"/>
      <c r="E450" s="670"/>
      <c r="F450" s="670"/>
      <c r="O450" s="672"/>
    </row>
    <row r="451" spans="1:15" ht="12.3">
      <c r="A451" s="23"/>
      <c r="E451" s="670"/>
      <c r="F451" s="670"/>
      <c r="O451" s="672"/>
    </row>
    <row r="452" spans="1:15" ht="12.3">
      <c r="A452" s="23"/>
      <c r="E452" s="670"/>
      <c r="F452" s="670"/>
      <c r="O452" s="672"/>
    </row>
    <row r="453" spans="1:15" ht="12.3">
      <c r="A453" s="23"/>
      <c r="E453" s="670"/>
      <c r="F453" s="670"/>
      <c r="O453" s="672"/>
    </row>
    <row r="454" spans="1:15" ht="12.3">
      <c r="A454" s="23"/>
      <c r="E454" s="670"/>
      <c r="F454" s="670"/>
      <c r="O454" s="672"/>
    </row>
    <row r="455" spans="1:15" ht="12.3">
      <c r="A455" s="23"/>
      <c r="E455" s="670"/>
      <c r="F455" s="670"/>
      <c r="O455" s="672"/>
    </row>
    <row r="456" spans="1:15" ht="12.3">
      <c r="A456" s="23"/>
      <c r="E456" s="670"/>
      <c r="F456" s="670"/>
      <c r="O456" s="672"/>
    </row>
    <row r="457" spans="1:15" ht="12.3">
      <c r="A457" s="23"/>
      <c r="E457" s="670"/>
      <c r="F457" s="670"/>
      <c r="O457" s="672"/>
    </row>
    <row r="458" spans="1:15" ht="12.3">
      <c r="A458" s="23"/>
      <c r="E458" s="670"/>
      <c r="F458" s="670"/>
      <c r="O458" s="672"/>
    </row>
    <row r="459" spans="1:15" ht="12.3">
      <c r="A459" s="23"/>
      <c r="E459" s="670"/>
      <c r="F459" s="670"/>
      <c r="O459" s="672"/>
    </row>
    <row r="460" spans="1:15" ht="12.3">
      <c r="A460" s="23"/>
      <c r="E460" s="670"/>
      <c r="F460" s="670"/>
      <c r="O460" s="672"/>
    </row>
    <row r="461" spans="1:15" ht="12.3">
      <c r="A461" s="23"/>
      <c r="E461" s="670"/>
      <c r="F461" s="670"/>
      <c r="O461" s="672"/>
    </row>
    <row r="462" spans="1:15" ht="12.3">
      <c r="A462" s="23"/>
      <c r="E462" s="670"/>
      <c r="F462" s="670"/>
      <c r="O462" s="672"/>
    </row>
    <row r="463" spans="1:15" ht="12.3">
      <c r="A463" s="23"/>
      <c r="E463" s="670"/>
      <c r="F463" s="670"/>
      <c r="O463" s="672"/>
    </row>
    <row r="464" spans="1:15" ht="12.3">
      <c r="A464" s="23"/>
      <c r="E464" s="670"/>
      <c r="F464" s="670"/>
      <c r="O464" s="672"/>
    </row>
    <row r="465" spans="1:15" ht="12.3">
      <c r="A465" s="23"/>
      <c r="E465" s="670"/>
      <c r="F465" s="670"/>
      <c r="O465" s="672"/>
    </row>
    <row r="466" spans="1:15" ht="12.3">
      <c r="A466" s="23"/>
      <c r="E466" s="670"/>
      <c r="F466" s="670"/>
      <c r="O466" s="672"/>
    </row>
    <row r="467" spans="1:15" ht="12.3">
      <c r="A467" s="23"/>
      <c r="E467" s="670"/>
      <c r="F467" s="670"/>
      <c r="O467" s="672"/>
    </row>
    <row r="468" spans="1:15" ht="12.3">
      <c r="A468" s="23"/>
      <c r="E468" s="670"/>
      <c r="F468" s="670"/>
      <c r="O468" s="672"/>
    </row>
    <row r="469" spans="1:15" ht="12.3">
      <c r="A469" s="23"/>
      <c r="E469" s="670"/>
      <c r="F469" s="670"/>
      <c r="O469" s="672"/>
    </row>
    <row r="470" spans="1:15" ht="12.3">
      <c r="A470" s="23"/>
      <c r="E470" s="670"/>
      <c r="F470" s="670"/>
      <c r="O470" s="672"/>
    </row>
    <row r="471" spans="1:15" ht="12.3">
      <c r="A471" s="23"/>
      <c r="E471" s="670"/>
      <c r="F471" s="670"/>
      <c r="O471" s="672"/>
    </row>
    <row r="472" spans="1:15" ht="12.3">
      <c r="A472" s="23"/>
      <c r="E472" s="670"/>
      <c r="F472" s="670"/>
      <c r="O472" s="672"/>
    </row>
    <row r="473" spans="1:15" ht="12.3">
      <c r="A473" s="23"/>
      <c r="E473" s="670"/>
      <c r="F473" s="670"/>
      <c r="O473" s="672"/>
    </row>
    <row r="474" spans="1:15" ht="12.3">
      <c r="A474" s="23"/>
      <c r="E474" s="670"/>
      <c r="F474" s="670"/>
      <c r="O474" s="672"/>
    </row>
    <row r="475" spans="1:15" ht="12.3">
      <c r="A475" s="23"/>
      <c r="E475" s="670"/>
      <c r="F475" s="670"/>
      <c r="O475" s="672"/>
    </row>
    <row r="476" spans="1:15" ht="12.3">
      <c r="A476" s="23"/>
      <c r="E476" s="670"/>
      <c r="F476" s="670"/>
      <c r="O476" s="672"/>
    </row>
    <row r="477" spans="1:15" ht="12.3">
      <c r="A477" s="23"/>
      <c r="E477" s="670"/>
      <c r="F477" s="670"/>
      <c r="O477" s="672"/>
    </row>
    <row r="478" spans="1:15" ht="12.3">
      <c r="A478" s="23"/>
      <c r="E478" s="670"/>
      <c r="F478" s="670"/>
      <c r="O478" s="672"/>
    </row>
    <row r="479" spans="1:15" ht="12.3">
      <c r="A479" s="23"/>
      <c r="E479" s="670"/>
      <c r="F479" s="670"/>
      <c r="O479" s="672"/>
    </row>
    <row r="480" spans="1:15" ht="12.3">
      <c r="A480" s="23"/>
      <c r="E480" s="670"/>
      <c r="F480" s="670"/>
      <c r="O480" s="672"/>
    </row>
    <row r="481" spans="1:15" ht="12.3">
      <c r="A481" s="23"/>
      <c r="E481" s="670"/>
      <c r="F481" s="670"/>
      <c r="O481" s="672"/>
    </row>
    <row r="482" spans="1:15" ht="12.3">
      <c r="A482" s="23"/>
      <c r="E482" s="670"/>
      <c r="F482" s="670"/>
      <c r="O482" s="672"/>
    </row>
    <row r="483" spans="1:15" ht="12.3">
      <c r="A483" s="23"/>
      <c r="E483" s="670"/>
      <c r="F483" s="670"/>
      <c r="O483" s="672"/>
    </row>
    <row r="484" spans="1:15" ht="12.3">
      <c r="A484" s="23"/>
      <c r="E484" s="670"/>
      <c r="F484" s="670"/>
      <c r="O484" s="672"/>
    </row>
    <row r="485" spans="1:15" ht="12.3">
      <c r="A485" s="23"/>
      <c r="E485" s="670"/>
      <c r="F485" s="670"/>
      <c r="O485" s="672"/>
    </row>
    <row r="486" spans="1:15" ht="12.3">
      <c r="A486" s="23"/>
      <c r="E486" s="670"/>
      <c r="F486" s="670"/>
      <c r="O486" s="672"/>
    </row>
    <row r="487" spans="1:15" ht="12.3">
      <c r="A487" s="23"/>
      <c r="E487" s="670"/>
      <c r="F487" s="670"/>
      <c r="O487" s="672"/>
    </row>
    <row r="488" spans="1:15" ht="12.3">
      <c r="A488" s="23"/>
      <c r="E488" s="670"/>
      <c r="F488" s="670"/>
      <c r="O488" s="672"/>
    </row>
    <row r="489" spans="1:15" ht="12.3">
      <c r="A489" s="23"/>
      <c r="E489" s="670"/>
      <c r="F489" s="670"/>
      <c r="O489" s="672"/>
    </row>
    <row r="490" spans="1:15" ht="12.3">
      <c r="A490" s="23"/>
      <c r="E490" s="670"/>
      <c r="F490" s="670"/>
      <c r="O490" s="672"/>
    </row>
    <row r="491" spans="1:15" ht="12.3">
      <c r="A491" s="23"/>
      <c r="E491" s="670"/>
      <c r="F491" s="670"/>
      <c r="O491" s="672"/>
    </row>
    <row r="492" spans="1:15" ht="12.3">
      <c r="A492" s="23"/>
      <c r="E492" s="670"/>
      <c r="F492" s="670"/>
      <c r="O492" s="672"/>
    </row>
    <row r="493" spans="1:15" ht="12.3">
      <c r="A493" s="23"/>
      <c r="E493" s="670"/>
      <c r="F493" s="670"/>
      <c r="O493" s="672"/>
    </row>
    <row r="494" spans="1:15" ht="12.3">
      <c r="A494" s="23"/>
      <c r="E494" s="670"/>
      <c r="F494" s="670"/>
      <c r="O494" s="672"/>
    </row>
    <row r="495" spans="1:15" ht="12.3">
      <c r="A495" s="23"/>
      <c r="E495" s="670"/>
      <c r="F495" s="670"/>
      <c r="O495" s="672"/>
    </row>
    <row r="496" spans="1:15" ht="12.3">
      <c r="A496" s="23"/>
      <c r="E496" s="670"/>
      <c r="F496" s="670"/>
      <c r="O496" s="672"/>
    </row>
    <row r="497" spans="1:15" ht="12.3">
      <c r="A497" s="23"/>
      <c r="E497" s="670"/>
      <c r="F497" s="670"/>
      <c r="O497" s="672"/>
    </row>
    <row r="498" spans="1:15" ht="12.3">
      <c r="A498" s="23"/>
      <c r="E498" s="670"/>
      <c r="F498" s="670"/>
      <c r="O498" s="672"/>
    </row>
    <row r="499" spans="1:15" ht="12.3">
      <c r="A499" s="23"/>
      <c r="E499" s="670"/>
      <c r="F499" s="670"/>
      <c r="O499" s="672"/>
    </row>
    <row r="500" spans="1:15" ht="12.3">
      <c r="A500" s="23"/>
      <c r="E500" s="670"/>
      <c r="F500" s="670"/>
      <c r="O500" s="672"/>
    </row>
    <row r="501" spans="1:15" ht="12.3">
      <c r="A501" s="23"/>
      <c r="E501" s="670"/>
      <c r="F501" s="670"/>
      <c r="O501" s="672"/>
    </row>
    <row r="502" spans="1:15" ht="12.3">
      <c r="A502" s="23"/>
      <c r="E502" s="670"/>
      <c r="F502" s="670"/>
      <c r="O502" s="672"/>
    </row>
    <row r="503" spans="1:15" ht="12.3">
      <c r="A503" s="23"/>
      <c r="E503" s="670"/>
      <c r="F503" s="670"/>
      <c r="O503" s="672"/>
    </row>
    <row r="504" spans="1:15" ht="12.3">
      <c r="A504" s="23"/>
      <c r="E504" s="670"/>
      <c r="F504" s="670"/>
      <c r="O504" s="672"/>
    </row>
    <row r="505" spans="1:15" ht="12.3">
      <c r="A505" s="23"/>
      <c r="E505" s="670"/>
      <c r="F505" s="670"/>
      <c r="O505" s="672"/>
    </row>
    <row r="506" spans="1:15" ht="12.3">
      <c r="A506" s="23"/>
      <c r="E506" s="670"/>
      <c r="F506" s="670"/>
      <c r="O506" s="672"/>
    </row>
    <row r="507" spans="1:15" ht="12.3">
      <c r="A507" s="23"/>
      <c r="E507" s="670"/>
      <c r="F507" s="670"/>
      <c r="O507" s="672"/>
    </row>
    <row r="508" spans="1:15" ht="12.3">
      <c r="A508" s="23"/>
      <c r="E508" s="670"/>
      <c r="F508" s="670"/>
      <c r="O508" s="672"/>
    </row>
    <row r="509" spans="1:15" ht="12.3">
      <c r="A509" s="23"/>
      <c r="E509" s="670"/>
      <c r="F509" s="670"/>
      <c r="O509" s="672"/>
    </row>
    <row r="510" spans="1:15" ht="12.3">
      <c r="A510" s="23"/>
      <c r="E510" s="670"/>
      <c r="F510" s="670"/>
      <c r="O510" s="672"/>
    </row>
    <row r="511" spans="1:15" ht="12.3">
      <c r="A511" s="23"/>
      <c r="E511" s="670"/>
      <c r="F511" s="670"/>
      <c r="O511" s="672"/>
    </row>
    <row r="512" spans="1:15" ht="12.3">
      <c r="A512" s="23"/>
      <c r="E512" s="670"/>
      <c r="F512" s="670"/>
      <c r="O512" s="672"/>
    </row>
    <row r="513" spans="1:15" ht="12.3">
      <c r="A513" s="23"/>
      <c r="E513" s="670"/>
      <c r="F513" s="670"/>
      <c r="O513" s="672"/>
    </row>
    <row r="514" spans="1:15" ht="12.3">
      <c r="A514" s="23"/>
      <c r="E514" s="670"/>
      <c r="F514" s="670"/>
      <c r="O514" s="672"/>
    </row>
    <row r="515" spans="1:15" ht="12.3">
      <c r="A515" s="23"/>
      <c r="E515" s="670"/>
      <c r="F515" s="670"/>
      <c r="O515" s="672"/>
    </row>
    <row r="516" spans="1:15" ht="12.3">
      <c r="A516" s="23"/>
      <c r="E516" s="670"/>
      <c r="F516" s="670"/>
      <c r="O516" s="672"/>
    </row>
    <row r="517" spans="1:15" ht="12.3">
      <c r="A517" s="23"/>
      <c r="E517" s="670"/>
      <c r="F517" s="670"/>
      <c r="O517" s="672"/>
    </row>
    <row r="518" spans="1:15" ht="12.3">
      <c r="A518" s="23"/>
      <c r="E518" s="670"/>
      <c r="F518" s="670"/>
      <c r="O518" s="672"/>
    </row>
    <row r="519" spans="1:15" ht="12.3">
      <c r="A519" s="23"/>
      <c r="E519" s="670"/>
      <c r="F519" s="670"/>
      <c r="O519" s="672"/>
    </row>
    <row r="520" spans="1:15" ht="12.3">
      <c r="A520" s="23"/>
      <c r="E520" s="670"/>
      <c r="F520" s="670"/>
      <c r="O520" s="672"/>
    </row>
    <row r="521" spans="1:15" ht="12.3">
      <c r="A521" s="23"/>
      <c r="E521" s="670"/>
      <c r="F521" s="670"/>
      <c r="O521" s="672"/>
    </row>
    <row r="522" spans="1:15" ht="12.3">
      <c r="A522" s="23"/>
      <c r="E522" s="670"/>
      <c r="F522" s="670"/>
      <c r="O522" s="672"/>
    </row>
    <row r="523" spans="1:15" ht="12.3">
      <c r="A523" s="23"/>
      <c r="E523" s="670"/>
      <c r="F523" s="670"/>
      <c r="O523" s="672"/>
    </row>
    <row r="524" spans="1:15" ht="12.3">
      <c r="A524" s="23"/>
      <c r="E524" s="670"/>
      <c r="F524" s="670"/>
      <c r="O524" s="672"/>
    </row>
    <row r="525" spans="1:15" ht="12.3">
      <c r="A525" s="23"/>
      <c r="E525" s="670"/>
      <c r="F525" s="670"/>
      <c r="O525" s="672"/>
    </row>
    <row r="526" spans="1:15" ht="12.3">
      <c r="A526" s="23"/>
      <c r="E526" s="670"/>
      <c r="F526" s="670"/>
      <c r="O526" s="672"/>
    </row>
    <row r="527" spans="1:15" ht="12.3">
      <c r="A527" s="23"/>
      <c r="E527" s="670"/>
      <c r="F527" s="670"/>
      <c r="O527" s="672"/>
    </row>
    <row r="528" spans="1:15" ht="12.3">
      <c r="A528" s="23"/>
      <c r="E528" s="670"/>
      <c r="F528" s="670"/>
      <c r="O528" s="672"/>
    </row>
    <row r="529" spans="1:15" ht="12.3">
      <c r="A529" s="23"/>
      <c r="E529" s="670"/>
      <c r="F529" s="670"/>
      <c r="O529" s="672"/>
    </row>
    <row r="530" spans="1:15" ht="12.3">
      <c r="A530" s="23"/>
      <c r="E530" s="670"/>
      <c r="F530" s="670"/>
      <c r="O530" s="672"/>
    </row>
    <row r="531" spans="1:15" ht="12.3">
      <c r="A531" s="23"/>
      <c r="E531" s="670"/>
      <c r="F531" s="670"/>
      <c r="O531" s="672"/>
    </row>
    <row r="532" spans="1:15" ht="12.3">
      <c r="A532" s="23"/>
      <c r="E532" s="670"/>
      <c r="F532" s="670"/>
      <c r="O532" s="672"/>
    </row>
    <row r="533" spans="1:15" ht="12.3">
      <c r="A533" s="23"/>
      <c r="E533" s="670"/>
      <c r="F533" s="670"/>
      <c r="O533" s="672"/>
    </row>
    <row r="534" spans="1:15" ht="12.3">
      <c r="A534" s="23"/>
      <c r="E534" s="670"/>
      <c r="F534" s="670"/>
      <c r="O534" s="672"/>
    </row>
    <row r="535" spans="1:15" ht="12.3">
      <c r="A535" s="23"/>
      <c r="E535" s="670"/>
      <c r="F535" s="670"/>
      <c r="O535" s="672"/>
    </row>
    <row r="536" spans="1:15" ht="12.3">
      <c r="A536" s="23"/>
      <c r="E536" s="670"/>
      <c r="F536" s="670"/>
      <c r="O536" s="672"/>
    </row>
    <row r="537" spans="1:15" ht="12.3">
      <c r="A537" s="23"/>
      <c r="E537" s="670"/>
      <c r="F537" s="670"/>
      <c r="O537" s="672"/>
    </row>
    <row r="538" spans="1:15" ht="12.3">
      <c r="A538" s="23"/>
      <c r="E538" s="670"/>
      <c r="F538" s="670"/>
      <c r="O538" s="672"/>
    </row>
    <row r="539" spans="1:15" ht="12.3">
      <c r="A539" s="23"/>
      <c r="E539" s="670"/>
      <c r="F539" s="670"/>
      <c r="O539" s="672"/>
    </row>
    <row r="540" spans="1:15" ht="12.3">
      <c r="A540" s="23"/>
      <c r="E540" s="670"/>
      <c r="F540" s="670"/>
      <c r="O540" s="672"/>
    </row>
    <row r="541" spans="1:15" ht="12.3">
      <c r="A541" s="23"/>
      <c r="E541" s="670"/>
      <c r="F541" s="670"/>
      <c r="O541" s="672"/>
    </row>
    <row r="542" spans="1:15" ht="12.3">
      <c r="A542" s="23"/>
      <c r="E542" s="670"/>
      <c r="F542" s="670"/>
      <c r="O542" s="672"/>
    </row>
    <row r="543" spans="1:15" ht="12.3">
      <c r="A543" s="23"/>
      <c r="E543" s="670"/>
      <c r="F543" s="670"/>
      <c r="O543" s="672"/>
    </row>
    <row r="544" spans="1:15" ht="12.3">
      <c r="A544" s="23"/>
      <c r="E544" s="670"/>
      <c r="F544" s="670"/>
      <c r="O544" s="672"/>
    </row>
    <row r="545" spans="1:15" ht="12.3">
      <c r="A545" s="23"/>
      <c r="E545" s="670"/>
      <c r="F545" s="670"/>
      <c r="O545" s="672"/>
    </row>
    <row r="546" spans="1:15" ht="12.3">
      <c r="A546" s="23"/>
      <c r="E546" s="670"/>
      <c r="F546" s="670"/>
      <c r="O546" s="672"/>
    </row>
    <row r="547" spans="1:15" ht="12.3">
      <c r="A547" s="23"/>
      <c r="E547" s="670"/>
      <c r="F547" s="670"/>
      <c r="O547" s="672"/>
    </row>
    <row r="548" spans="1:15" ht="12.3">
      <c r="A548" s="23"/>
      <c r="E548" s="670"/>
      <c r="F548" s="670"/>
      <c r="O548" s="672"/>
    </row>
    <row r="549" spans="1:15" ht="12.3">
      <c r="A549" s="23"/>
      <c r="E549" s="670"/>
      <c r="F549" s="670"/>
      <c r="O549" s="672"/>
    </row>
    <row r="550" spans="1:15" ht="12.3">
      <c r="A550" s="23"/>
      <c r="E550" s="670"/>
      <c r="F550" s="670"/>
      <c r="O550" s="672"/>
    </row>
    <row r="551" spans="1:15" ht="12.3">
      <c r="A551" s="23"/>
      <c r="E551" s="670"/>
      <c r="F551" s="670"/>
      <c r="O551" s="672"/>
    </row>
    <row r="552" spans="1:15" ht="12.3">
      <c r="A552" s="23"/>
      <c r="E552" s="670"/>
      <c r="F552" s="670"/>
      <c r="O552" s="672"/>
    </row>
    <row r="553" spans="1:15" ht="12.3">
      <c r="A553" s="23"/>
      <c r="E553" s="670"/>
      <c r="F553" s="670"/>
      <c r="O553" s="672"/>
    </row>
    <row r="554" spans="1:15" ht="12.3">
      <c r="A554" s="23"/>
      <c r="E554" s="670"/>
      <c r="F554" s="670"/>
      <c r="O554" s="672"/>
    </row>
    <row r="555" spans="1:15" ht="12.3">
      <c r="A555" s="23"/>
      <c r="E555" s="670"/>
      <c r="F555" s="670"/>
      <c r="O555" s="672"/>
    </row>
    <row r="556" spans="1:15" ht="12.3">
      <c r="A556" s="23"/>
      <c r="E556" s="670"/>
      <c r="F556" s="670"/>
      <c r="O556" s="672"/>
    </row>
    <row r="557" spans="1:15" ht="12.3">
      <c r="A557" s="23"/>
      <c r="E557" s="670"/>
      <c r="F557" s="670"/>
      <c r="O557" s="672"/>
    </row>
    <row r="558" spans="1:15" ht="12.3">
      <c r="A558" s="23"/>
      <c r="E558" s="670"/>
      <c r="F558" s="670"/>
      <c r="O558" s="672"/>
    </row>
    <row r="559" spans="1:15" ht="12.3">
      <c r="A559" s="23"/>
      <c r="E559" s="670"/>
      <c r="F559" s="670"/>
      <c r="O559" s="672"/>
    </row>
    <row r="560" spans="1:15" ht="12.3">
      <c r="A560" s="23"/>
      <c r="E560" s="670"/>
      <c r="F560" s="670"/>
      <c r="O560" s="672"/>
    </row>
    <row r="561" spans="1:15" ht="12.3">
      <c r="A561" s="23"/>
      <c r="E561" s="670"/>
      <c r="F561" s="670"/>
      <c r="O561" s="672"/>
    </row>
    <row r="562" spans="1:15" ht="12.3">
      <c r="A562" s="23"/>
      <c r="E562" s="670"/>
      <c r="F562" s="670"/>
      <c r="O562" s="672"/>
    </row>
    <row r="563" spans="1:15" ht="12.3">
      <c r="A563" s="23"/>
      <c r="E563" s="670"/>
      <c r="F563" s="670"/>
      <c r="O563" s="672"/>
    </row>
    <row r="564" spans="1:15" ht="12.3">
      <c r="A564" s="23"/>
      <c r="E564" s="670"/>
      <c r="F564" s="670"/>
      <c r="O564" s="672"/>
    </row>
    <row r="565" spans="1:15" ht="12.3">
      <c r="A565" s="23"/>
      <c r="E565" s="670"/>
      <c r="F565" s="670"/>
      <c r="O565" s="672"/>
    </row>
    <row r="566" spans="1:15" ht="12.3">
      <c r="A566" s="23"/>
      <c r="E566" s="670"/>
      <c r="F566" s="670"/>
      <c r="O566" s="672"/>
    </row>
    <row r="567" spans="1:15" ht="12.3">
      <c r="A567" s="23"/>
      <c r="E567" s="670"/>
      <c r="F567" s="670"/>
      <c r="O567" s="672"/>
    </row>
    <row r="568" spans="1:15" ht="12.3">
      <c r="A568" s="23"/>
      <c r="E568" s="670"/>
      <c r="F568" s="670"/>
      <c r="O568" s="672"/>
    </row>
    <row r="569" spans="1:15" ht="12.3">
      <c r="A569" s="23"/>
      <c r="E569" s="670"/>
      <c r="F569" s="670"/>
      <c r="O569" s="672"/>
    </row>
    <row r="570" spans="1:15" ht="12.3">
      <c r="A570" s="23"/>
      <c r="E570" s="670"/>
      <c r="F570" s="670"/>
      <c r="O570" s="672"/>
    </row>
    <row r="571" spans="1:15" ht="12.3">
      <c r="A571" s="23"/>
      <c r="E571" s="670"/>
      <c r="F571" s="670"/>
      <c r="O571" s="672"/>
    </row>
    <row r="572" spans="1:15" ht="12.3">
      <c r="A572" s="23"/>
      <c r="E572" s="670"/>
      <c r="F572" s="670"/>
      <c r="O572" s="672"/>
    </row>
    <row r="573" spans="1:15" ht="12.3">
      <c r="A573" s="23"/>
      <c r="E573" s="670"/>
      <c r="F573" s="670"/>
      <c r="O573" s="672"/>
    </row>
    <row r="574" spans="1:15" ht="12.3">
      <c r="A574" s="23"/>
      <c r="E574" s="670"/>
      <c r="F574" s="670"/>
      <c r="O574" s="672"/>
    </row>
    <row r="575" spans="1:15" ht="12.3">
      <c r="A575" s="23"/>
      <c r="E575" s="670"/>
      <c r="F575" s="670"/>
      <c r="O575" s="672"/>
    </row>
    <row r="576" spans="1:15" ht="12.3">
      <c r="A576" s="23"/>
      <c r="E576" s="670"/>
      <c r="F576" s="670"/>
      <c r="O576" s="672"/>
    </row>
    <row r="577" spans="1:15" ht="12.3">
      <c r="A577" s="23"/>
      <c r="E577" s="670"/>
      <c r="F577" s="670"/>
      <c r="O577" s="672"/>
    </row>
    <row r="578" spans="1:15" ht="12.3">
      <c r="A578" s="23"/>
      <c r="E578" s="670"/>
      <c r="F578" s="670"/>
      <c r="O578" s="672"/>
    </row>
    <row r="579" spans="1:15" ht="12.3">
      <c r="A579" s="23"/>
      <c r="E579" s="670"/>
      <c r="F579" s="670"/>
      <c r="O579" s="672"/>
    </row>
    <row r="580" spans="1:15" ht="12.3">
      <c r="A580" s="23"/>
      <c r="E580" s="670"/>
      <c r="F580" s="670"/>
      <c r="O580" s="672"/>
    </row>
    <row r="581" spans="1:15" ht="12.3">
      <c r="A581" s="23"/>
      <c r="E581" s="670"/>
      <c r="F581" s="670"/>
      <c r="O581" s="672"/>
    </row>
    <row r="582" spans="1:15" ht="12.3">
      <c r="A582" s="23"/>
      <c r="E582" s="670"/>
      <c r="F582" s="670"/>
      <c r="O582" s="672"/>
    </row>
    <row r="583" spans="1:15" ht="12.3">
      <c r="A583" s="23"/>
      <c r="E583" s="670"/>
      <c r="F583" s="670"/>
      <c r="O583" s="672"/>
    </row>
    <row r="584" spans="1:15" ht="12.3">
      <c r="A584" s="23"/>
      <c r="E584" s="670"/>
      <c r="F584" s="670"/>
      <c r="O584" s="672"/>
    </row>
    <row r="585" spans="1:15" ht="12.3">
      <c r="A585" s="23"/>
      <c r="E585" s="670"/>
      <c r="F585" s="670"/>
      <c r="O585" s="672"/>
    </row>
    <row r="586" spans="1:15" ht="12.3">
      <c r="A586" s="23"/>
      <c r="E586" s="670"/>
      <c r="F586" s="670"/>
      <c r="O586" s="672"/>
    </row>
    <row r="587" spans="1:15" ht="12.3">
      <c r="A587" s="23"/>
      <c r="E587" s="670"/>
      <c r="F587" s="670"/>
      <c r="O587" s="672"/>
    </row>
    <row r="588" spans="1:15" ht="12.3">
      <c r="A588" s="23"/>
      <c r="E588" s="670"/>
      <c r="F588" s="670"/>
      <c r="O588" s="672"/>
    </row>
    <row r="589" spans="1:15" ht="12.3">
      <c r="A589" s="23"/>
      <c r="E589" s="670"/>
      <c r="F589" s="670"/>
      <c r="O589" s="672"/>
    </row>
    <row r="590" spans="1:15" ht="12.3">
      <c r="A590" s="23"/>
      <c r="E590" s="670"/>
      <c r="F590" s="670"/>
      <c r="O590" s="672"/>
    </row>
    <row r="591" spans="1:15" ht="12.3">
      <c r="A591" s="23"/>
      <c r="E591" s="670"/>
      <c r="F591" s="670"/>
      <c r="O591" s="672"/>
    </row>
    <row r="592" spans="1:15" ht="12.3">
      <c r="A592" s="23"/>
      <c r="E592" s="670"/>
      <c r="F592" s="670"/>
      <c r="O592" s="672"/>
    </row>
    <row r="593" spans="1:15" ht="12.3">
      <c r="A593" s="23"/>
      <c r="E593" s="670"/>
      <c r="F593" s="670"/>
      <c r="O593" s="672"/>
    </row>
    <row r="594" spans="1:15" ht="12.3">
      <c r="A594" s="23"/>
      <c r="E594" s="670"/>
      <c r="F594" s="670"/>
      <c r="O594" s="672"/>
    </row>
    <row r="595" spans="1:15" ht="12.3">
      <c r="A595" s="23"/>
      <c r="E595" s="670"/>
      <c r="F595" s="670"/>
      <c r="O595" s="672"/>
    </row>
    <row r="596" spans="1:15" ht="12.3">
      <c r="A596" s="23"/>
      <c r="E596" s="670"/>
      <c r="F596" s="670"/>
      <c r="O596" s="672"/>
    </row>
    <row r="597" spans="1:15" ht="12.3">
      <c r="A597" s="23"/>
      <c r="E597" s="670"/>
      <c r="F597" s="670"/>
      <c r="O597" s="672"/>
    </row>
    <row r="598" spans="1:15" ht="12.3">
      <c r="A598" s="23"/>
      <c r="E598" s="670"/>
      <c r="F598" s="670"/>
      <c r="O598" s="672"/>
    </row>
    <row r="599" spans="1:15" ht="12.3">
      <c r="A599" s="23"/>
      <c r="E599" s="670"/>
      <c r="F599" s="670"/>
      <c r="O599" s="672"/>
    </row>
    <row r="600" spans="1:15" ht="12.3">
      <c r="A600" s="23"/>
      <c r="E600" s="670"/>
      <c r="F600" s="670"/>
      <c r="O600" s="672"/>
    </row>
    <row r="601" spans="1:15" ht="12.3">
      <c r="A601" s="23"/>
      <c r="E601" s="670"/>
      <c r="F601" s="670"/>
      <c r="O601" s="672"/>
    </row>
    <row r="602" spans="1:15" ht="12.3">
      <c r="A602" s="23"/>
      <c r="E602" s="670"/>
      <c r="F602" s="670"/>
      <c r="O602" s="672"/>
    </row>
    <row r="603" spans="1:15" ht="12.3">
      <c r="A603" s="23"/>
      <c r="E603" s="670"/>
      <c r="F603" s="670"/>
      <c r="O603" s="672"/>
    </row>
    <row r="604" spans="1:15" ht="12.3">
      <c r="A604" s="23"/>
      <c r="E604" s="670"/>
      <c r="F604" s="670"/>
      <c r="O604" s="672"/>
    </row>
    <row r="605" spans="1:15" ht="12.3">
      <c r="A605" s="23"/>
      <c r="E605" s="670"/>
      <c r="F605" s="670"/>
      <c r="O605" s="672"/>
    </row>
    <row r="606" spans="1:15" ht="12.3">
      <c r="A606" s="23"/>
      <c r="E606" s="670"/>
      <c r="F606" s="670"/>
      <c r="O606" s="672"/>
    </row>
    <row r="607" spans="1:15" ht="12.3">
      <c r="A607" s="23"/>
      <c r="E607" s="670"/>
      <c r="F607" s="670"/>
      <c r="O607" s="672"/>
    </row>
    <row r="608" spans="1:15" ht="12.3">
      <c r="A608" s="23"/>
      <c r="E608" s="670"/>
      <c r="F608" s="670"/>
      <c r="O608" s="672"/>
    </row>
    <row r="609" spans="1:15" ht="12.3">
      <c r="A609" s="23"/>
      <c r="E609" s="670"/>
      <c r="F609" s="670"/>
      <c r="O609" s="672"/>
    </row>
    <row r="610" spans="1:15" ht="12.3">
      <c r="A610" s="23"/>
      <c r="E610" s="670"/>
      <c r="F610" s="670"/>
      <c r="O610" s="672"/>
    </row>
    <row r="611" spans="1:15" ht="12.3">
      <c r="A611" s="23"/>
      <c r="E611" s="670"/>
      <c r="F611" s="670"/>
      <c r="O611" s="672"/>
    </row>
    <row r="612" spans="1:15" ht="12.3">
      <c r="A612" s="23"/>
      <c r="E612" s="670"/>
      <c r="F612" s="670"/>
      <c r="O612" s="672"/>
    </row>
    <row r="613" spans="1:15" ht="12.3">
      <c r="A613" s="23"/>
      <c r="E613" s="670"/>
      <c r="F613" s="670"/>
      <c r="O613" s="672"/>
    </row>
    <row r="614" spans="1:15" ht="12.3">
      <c r="A614" s="23"/>
      <c r="E614" s="670"/>
      <c r="F614" s="670"/>
      <c r="O614" s="672"/>
    </row>
    <row r="615" spans="1:15" ht="12.3">
      <c r="A615" s="23"/>
      <c r="E615" s="670"/>
      <c r="F615" s="670"/>
      <c r="O615" s="672"/>
    </row>
    <row r="616" spans="1:15" ht="12.3">
      <c r="A616" s="23"/>
      <c r="E616" s="670"/>
      <c r="F616" s="670"/>
      <c r="O616" s="672"/>
    </row>
    <row r="617" spans="1:15" ht="12.3">
      <c r="A617" s="23"/>
      <c r="E617" s="670"/>
      <c r="F617" s="670"/>
      <c r="O617" s="672"/>
    </row>
    <row r="618" spans="1:15" ht="12.3">
      <c r="A618" s="23"/>
      <c r="E618" s="670"/>
      <c r="F618" s="670"/>
      <c r="O618" s="672"/>
    </row>
    <row r="619" spans="1:15" ht="12.3">
      <c r="A619" s="23"/>
      <c r="E619" s="670"/>
      <c r="F619" s="670"/>
      <c r="O619" s="672"/>
    </row>
    <row r="620" spans="1:15" ht="12.3">
      <c r="A620" s="23"/>
      <c r="E620" s="670"/>
      <c r="F620" s="670"/>
      <c r="O620" s="672"/>
    </row>
    <row r="621" spans="1:15" ht="12.3">
      <c r="A621" s="23"/>
      <c r="E621" s="670"/>
      <c r="F621" s="670"/>
      <c r="O621" s="672"/>
    </row>
    <row r="622" spans="1:15" ht="12.3">
      <c r="A622" s="23"/>
      <c r="E622" s="670"/>
      <c r="F622" s="670"/>
      <c r="O622" s="672"/>
    </row>
    <row r="623" spans="1:15" ht="12.3">
      <c r="A623" s="23"/>
      <c r="E623" s="670"/>
      <c r="F623" s="670"/>
      <c r="O623" s="672"/>
    </row>
    <row r="624" spans="1:15" ht="12.3">
      <c r="A624" s="23"/>
      <c r="E624" s="670"/>
      <c r="F624" s="670"/>
      <c r="O624" s="672"/>
    </row>
    <row r="625" spans="1:15" ht="12.3">
      <c r="A625" s="23"/>
      <c r="E625" s="670"/>
      <c r="F625" s="670"/>
      <c r="O625" s="672"/>
    </row>
    <row r="626" spans="1:15" ht="12.3">
      <c r="A626" s="23"/>
      <c r="E626" s="670"/>
      <c r="F626" s="670"/>
      <c r="O626" s="672"/>
    </row>
    <row r="627" spans="1:15" ht="12.3">
      <c r="A627" s="23"/>
      <c r="E627" s="670"/>
      <c r="F627" s="670"/>
      <c r="O627" s="672"/>
    </row>
    <row r="628" spans="1:15" ht="12.3">
      <c r="A628" s="23"/>
      <c r="E628" s="670"/>
      <c r="F628" s="670"/>
      <c r="O628" s="672"/>
    </row>
    <row r="629" spans="1:15" ht="12.3">
      <c r="A629" s="23"/>
      <c r="E629" s="670"/>
      <c r="F629" s="670"/>
      <c r="O629" s="672"/>
    </row>
    <row r="630" spans="1:15" ht="12.3">
      <c r="A630" s="23"/>
      <c r="E630" s="670"/>
      <c r="F630" s="670"/>
      <c r="O630" s="672"/>
    </row>
    <row r="631" spans="1:15" ht="12.3">
      <c r="A631" s="23"/>
      <c r="E631" s="670"/>
      <c r="F631" s="670"/>
      <c r="O631" s="672"/>
    </row>
    <row r="632" spans="1:15" ht="12.3">
      <c r="A632" s="23"/>
      <c r="E632" s="670"/>
      <c r="F632" s="670"/>
      <c r="O632" s="672"/>
    </row>
    <row r="633" spans="1:15" ht="12.3">
      <c r="A633" s="23"/>
      <c r="E633" s="670"/>
      <c r="F633" s="670"/>
      <c r="O633" s="672"/>
    </row>
    <row r="634" spans="1:15" ht="12.3">
      <c r="A634" s="23"/>
      <c r="E634" s="670"/>
      <c r="F634" s="670"/>
      <c r="O634" s="672"/>
    </row>
    <row r="635" spans="1:15" ht="12.3">
      <c r="A635" s="23"/>
      <c r="E635" s="670"/>
      <c r="F635" s="670"/>
      <c r="O635" s="672"/>
    </row>
    <row r="636" spans="1:15" ht="12.3">
      <c r="A636" s="23"/>
      <c r="E636" s="670"/>
      <c r="F636" s="670"/>
      <c r="O636" s="672"/>
    </row>
    <row r="637" spans="1:15" ht="12.3">
      <c r="A637" s="23"/>
      <c r="E637" s="670"/>
      <c r="F637" s="670"/>
      <c r="O637" s="672"/>
    </row>
    <row r="638" spans="1:15" ht="12.3">
      <c r="A638" s="23"/>
      <c r="E638" s="670"/>
      <c r="F638" s="670"/>
      <c r="O638" s="672"/>
    </row>
    <row r="639" spans="1:15" ht="12.3">
      <c r="A639" s="23"/>
      <c r="E639" s="670"/>
      <c r="F639" s="670"/>
      <c r="O639" s="672"/>
    </row>
    <row r="640" spans="1:15" ht="12.3">
      <c r="A640" s="23"/>
      <c r="E640" s="670"/>
      <c r="F640" s="670"/>
      <c r="O640" s="672"/>
    </row>
    <row r="641" spans="1:15" ht="12.3">
      <c r="A641" s="23"/>
      <c r="E641" s="670"/>
      <c r="F641" s="670"/>
      <c r="O641" s="672"/>
    </row>
    <row r="642" spans="1:15" ht="12.3">
      <c r="A642" s="23"/>
      <c r="E642" s="670"/>
      <c r="F642" s="670"/>
      <c r="O642" s="672"/>
    </row>
    <row r="643" spans="1:15" ht="12.3">
      <c r="A643" s="23"/>
      <c r="E643" s="670"/>
      <c r="F643" s="670"/>
      <c r="O643" s="672"/>
    </row>
    <row r="644" spans="1:15" ht="12.3">
      <c r="A644" s="23"/>
      <c r="E644" s="670"/>
      <c r="F644" s="670"/>
      <c r="O644" s="672"/>
    </row>
    <row r="645" spans="1:15" ht="12.3">
      <c r="A645" s="23"/>
      <c r="E645" s="670"/>
      <c r="F645" s="670"/>
      <c r="O645" s="672"/>
    </row>
    <row r="646" spans="1:15" ht="12.3">
      <c r="A646" s="23"/>
      <c r="E646" s="670"/>
      <c r="F646" s="670"/>
      <c r="O646" s="672"/>
    </row>
    <row r="647" spans="1:15" ht="12.3">
      <c r="A647" s="23"/>
      <c r="E647" s="670"/>
      <c r="F647" s="670"/>
      <c r="O647" s="672"/>
    </row>
    <row r="648" spans="1:15" ht="12.3">
      <c r="A648" s="23"/>
      <c r="E648" s="670"/>
      <c r="F648" s="670"/>
      <c r="O648" s="672"/>
    </row>
    <row r="649" spans="1:15" ht="12.3">
      <c r="A649" s="23"/>
      <c r="E649" s="670"/>
      <c r="F649" s="670"/>
      <c r="O649" s="672"/>
    </row>
    <row r="650" spans="1:15" ht="12.3">
      <c r="A650" s="23"/>
      <c r="E650" s="670"/>
      <c r="F650" s="670"/>
      <c r="O650" s="672"/>
    </row>
    <row r="651" spans="1:15" ht="12.3">
      <c r="A651" s="23"/>
      <c r="E651" s="670"/>
      <c r="F651" s="670"/>
      <c r="O651" s="672"/>
    </row>
    <row r="652" spans="1:15" ht="12.3">
      <c r="A652" s="23"/>
      <c r="E652" s="670"/>
      <c r="F652" s="670"/>
      <c r="O652" s="672"/>
    </row>
    <row r="653" spans="1:15" ht="12.3">
      <c r="A653" s="23"/>
      <c r="E653" s="670"/>
      <c r="F653" s="670"/>
      <c r="O653" s="672"/>
    </row>
    <row r="654" spans="1:15" ht="12.3">
      <c r="A654" s="23"/>
      <c r="E654" s="670"/>
      <c r="F654" s="670"/>
      <c r="O654" s="672"/>
    </row>
    <row r="655" spans="1:15" ht="12.3">
      <c r="A655" s="23"/>
      <c r="E655" s="670"/>
      <c r="F655" s="670"/>
      <c r="O655" s="672"/>
    </row>
    <row r="656" spans="1:15" ht="12.3">
      <c r="A656" s="23"/>
      <c r="E656" s="670"/>
      <c r="F656" s="670"/>
      <c r="O656" s="672"/>
    </row>
    <row r="657" spans="1:15" ht="12.3">
      <c r="A657" s="23"/>
      <c r="E657" s="670"/>
      <c r="F657" s="670"/>
      <c r="O657" s="672"/>
    </row>
    <row r="658" spans="1:15" ht="12.3">
      <c r="A658" s="23"/>
      <c r="E658" s="670"/>
      <c r="F658" s="670"/>
      <c r="O658" s="672"/>
    </row>
    <row r="659" spans="1:15" ht="12.3">
      <c r="A659" s="23"/>
      <c r="E659" s="670"/>
      <c r="F659" s="670"/>
      <c r="O659" s="672"/>
    </row>
    <row r="660" spans="1:15" ht="12.3">
      <c r="A660" s="23"/>
      <c r="E660" s="670"/>
      <c r="F660" s="670"/>
      <c r="O660" s="672"/>
    </row>
    <row r="661" spans="1:15" ht="12.3">
      <c r="A661" s="23"/>
      <c r="E661" s="670"/>
      <c r="F661" s="670"/>
      <c r="O661" s="672"/>
    </row>
    <row r="662" spans="1:15" ht="12.3">
      <c r="A662" s="23"/>
      <c r="E662" s="670"/>
      <c r="F662" s="670"/>
      <c r="O662" s="672"/>
    </row>
    <row r="663" spans="1:15" ht="12.3">
      <c r="A663" s="23"/>
      <c r="E663" s="670"/>
      <c r="F663" s="670"/>
      <c r="O663" s="672"/>
    </row>
    <row r="664" spans="1:15" ht="12.3">
      <c r="A664" s="23"/>
      <c r="E664" s="670"/>
      <c r="F664" s="670"/>
      <c r="O664" s="672"/>
    </row>
    <row r="665" spans="1:15" ht="12.3">
      <c r="A665" s="23"/>
      <c r="E665" s="670"/>
      <c r="F665" s="670"/>
      <c r="O665" s="672"/>
    </row>
    <row r="666" spans="1:15" ht="12.3">
      <c r="A666" s="23"/>
      <c r="E666" s="670"/>
      <c r="F666" s="670"/>
      <c r="O666" s="672"/>
    </row>
    <row r="667" spans="1:15" ht="12.3">
      <c r="A667" s="23"/>
      <c r="E667" s="670"/>
      <c r="F667" s="670"/>
      <c r="O667" s="672"/>
    </row>
    <row r="668" spans="1:15" ht="12.3">
      <c r="A668" s="23"/>
      <c r="E668" s="670"/>
      <c r="F668" s="670"/>
      <c r="O668" s="672"/>
    </row>
    <row r="669" spans="1:15" ht="12.3">
      <c r="A669" s="23"/>
      <c r="E669" s="670"/>
      <c r="F669" s="670"/>
      <c r="O669" s="672"/>
    </row>
    <row r="670" spans="1:15" ht="12.3">
      <c r="A670" s="23"/>
      <c r="E670" s="670"/>
      <c r="F670" s="670"/>
      <c r="O670" s="672"/>
    </row>
    <row r="671" spans="1:15" ht="12.3">
      <c r="A671" s="23"/>
      <c r="E671" s="670"/>
      <c r="F671" s="670"/>
      <c r="O671" s="672"/>
    </row>
    <row r="672" spans="1:15" ht="12.3">
      <c r="A672" s="23"/>
      <c r="E672" s="670"/>
      <c r="F672" s="670"/>
      <c r="O672" s="672"/>
    </row>
    <row r="673" spans="1:15" ht="12.3">
      <c r="A673" s="23"/>
      <c r="E673" s="670"/>
      <c r="F673" s="670"/>
      <c r="O673" s="672"/>
    </row>
    <row r="674" spans="1:15" ht="12.3">
      <c r="A674" s="23"/>
      <c r="E674" s="670"/>
      <c r="F674" s="670"/>
      <c r="O674" s="672"/>
    </row>
    <row r="675" spans="1:15" ht="12.3">
      <c r="A675" s="23"/>
      <c r="E675" s="670"/>
      <c r="F675" s="670"/>
      <c r="O675" s="672"/>
    </row>
    <row r="676" spans="1:15" ht="12.3">
      <c r="A676" s="23"/>
      <c r="E676" s="670"/>
      <c r="F676" s="670"/>
      <c r="O676" s="672"/>
    </row>
    <row r="677" spans="1:15" ht="12.3">
      <c r="A677" s="23"/>
      <c r="E677" s="670"/>
      <c r="F677" s="670"/>
      <c r="O677" s="672"/>
    </row>
    <row r="678" spans="1:15" ht="12.3">
      <c r="A678" s="23"/>
      <c r="E678" s="670"/>
      <c r="F678" s="670"/>
      <c r="O678" s="672"/>
    </row>
    <row r="679" spans="1:15" ht="12.3">
      <c r="A679" s="23"/>
      <c r="E679" s="670"/>
      <c r="F679" s="670"/>
      <c r="O679" s="672"/>
    </row>
    <row r="680" spans="1:15" ht="12.3">
      <c r="A680" s="23"/>
      <c r="E680" s="670"/>
      <c r="F680" s="670"/>
      <c r="O680" s="672"/>
    </row>
    <row r="681" spans="1:15" ht="12.3">
      <c r="A681" s="23"/>
      <c r="E681" s="670"/>
      <c r="F681" s="670"/>
      <c r="O681" s="672"/>
    </row>
    <row r="682" spans="1:15" ht="12.3">
      <c r="A682" s="23"/>
      <c r="E682" s="670"/>
      <c r="F682" s="670"/>
      <c r="O682" s="672"/>
    </row>
    <row r="683" spans="1:15" ht="12.3">
      <c r="A683" s="23"/>
      <c r="E683" s="670"/>
      <c r="F683" s="670"/>
      <c r="O683" s="672"/>
    </row>
    <row r="684" spans="1:15" ht="12.3">
      <c r="A684" s="23"/>
      <c r="E684" s="670"/>
      <c r="F684" s="670"/>
      <c r="O684" s="672"/>
    </row>
    <row r="685" spans="1:15" ht="12.3">
      <c r="A685" s="23"/>
      <c r="E685" s="670"/>
      <c r="F685" s="670"/>
      <c r="O685" s="672"/>
    </row>
    <row r="686" spans="1:15" ht="12.3">
      <c r="A686" s="23"/>
      <c r="E686" s="670"/>
      <c r="F686" s="670"/>
      <c r="O686" s="672"/>
    </row>
    <row r="687" spans="1:15" ht="12.3">
      <c r="A687" s="23"/>
      <c r="E687" s="670"/>
      <c r="F687" s="670"/>
      <c r="O687" s="672"/>
    </row>
    <row r="688" spans="1:15" ht="12.3">
      <c r="A688" s="23"/>
      <c r="E688" s="670"/>
      <c r="F688" s="670"/>
      <c r="O688" s="672"/>
    </row>
    <row r="689" spans="1:15" ht="12.3">
      <c r="A689" s="23"/>
      <c r="E689" s="670"/>
      <c r="F689" s="670"/>
      <c r="O689" s="672"/>
    </row>
    <row r="690" spans="1:15" ht="12.3">
      <c r="A690" s="23"/>
      <c r="E690" s="670"/>
      <c r="F690" s="670"/>
      <c r="O690" s="672"/>
    </row>
    <row r="691" spans="1:15" ht="12.3">
      <c r="A691" s="23"/>
      <c r="E691" s="670"/>
      <c r="F691" s="670"/>
      <c r="O691" s="672"/>
    </row>
    <row r="692" spans="1:15" ht="12.3">
      <c r="A692" s="23"/>
      <c r="E692" s="670"/>
      <c r="F692" s="670"/>
      <c r="O692" s="672"/>
    </row>
    <row r="693" spans="1:15" ht="12.3">
      <c r="A693" s="23"/>
      <c r="E693" s="670"/>
      <c r="F693" s="670"/>
      <c r="O693" s="672"/>
    </row>
    <row r="694" spans="1:15" ht="12.3">
      <c r="A694" s="23"/>
      <c r="E694" s="670"/>
      <c r="F694" s="670"/>
      <c r="O694" s="672"/>
    </row>
    <row r="695" spans="1:15" ht="12.3">
      <c r="A695" s="23"/>
      <c r="E695" s="670"/>
      <c r="F695" s="670"/>
      <c r="O695" s="672"/>
    </row>
    <row r="696" spans="1:15" ht="12.3">
      <c r="A696" s="23"/>
      <c r="E696" s="670"/>
      <c r="F696" s="670"/>
      <c r="O696" s="672"/>
    </row>
    <row r="697" spans="1:15" ht="12.3">
      <c r="A697" s="23"/>
      <c r="E697" s="670"/>
      <c r="F697" s="670"/>
      <c r="O697" s="672"/>
    </row>
    <row r="698" spans="1:15" ht="12.3">
      <c r="A698" s="23"/>
      <c r="E698" s="670"/>
      <c r="F698" s="670"/>
      <c r="O698" s="672"/>
    </row>
    <row r="699" spans="1:15" ht="12.3">
      <c r="A699" s="23"/>
      <c r="E699" s="670"/>
      <c r="F699" s="670"/>
      <c r="O699" s="672"/>
    </row>
    <row r="700" spans="1:15" ht="12.3">
      <c r="A700" s="23"/>
      <c r="E700" s="670"/>
      <c r="F700" s="670"/>
      <c r="O700" s="672"/>
    </row>
    <row r="701" spans="1:15" ht="12.3">
      <c r="A701" s="23"/>
      <c r="E701" s="670"/>
      <c r="F701" s="670"/>
      <c r="O701" s="672"/>
    </row>
    <row r="702" spans="1:15" ht="12.3">
      <c r="A702" s="23"/>
      <c r="E702" s="670"/>
      <c r="F702" s="670"/>
      <c r="O702" s="672"/>
    </row>
    <row r="703" spans="1:15" ht="12.3">
      <c r="A703" s="23"/>
      <c r="E703" s="670"/>
      <c r="F703" s="670"/>
      <c r="O703" s="672"/>
    </row>
    <row r="704" spans="1:15" ht="12.3">
      <c r="A704" s="23"/>
      <c r="E704" s="670"/>
      <c r="F704" s="670"/>
      <c r="O704" s="672"/>
    </row>
    <row r="705" spans="1:15" ht="12.3">
      <c r="A705" s="23"/>
      <c r="E705" s="670"/>
      <c r="F705" s="670"/>
      <c r="O705" s="672"/>
    </row>
    <row r="706" spans="1:15" ht="12.3">
      <c r="A706" s="23"/>
      <c r="E706" s="670"/>
      <c r="F706" s="670"/>
      <c r="O706" s="672"/>
    </row>
    <row r="707" spans="1:15" ht="12.3">
      <c r="A707" s="23"/>
      <c r="E707" s="670"/>
      <c r="F707" s="670"/>
      <c r="O707" s="672"/>
    </row>
    <row r="708" spans="1:15" ht="12.3">
      <c r="A708" s="23"/>
      <c r="E708" s="670"/>
      <c r="F708" s="670"/>
      <c r="O708" s="672"/>
    </row>
    <row r="709" spans="1:15" ht="12.3">
      <c r="A709" s="23"/>
      <c r="E709" s="670"/>
      <c r="F709" s="670"/>
      <c r="O709" s="672"/>
    </row>
    <row r="710" spans="1:15" ht="12.3">
      <c r="A710" s="23"/>
      <c r="E710" s="670"/>
      <c r="F710" s="670"/>
      <c r="O710" s="672"/>
    </row>
    <row r="711" spans="1:15" ht="12.3">
      <c r="A711" s="23"/>
      <c r="E711" s="670"/>
      <c r="F711" s="670"/>
      <c r="O711" s="672"/>
    </row>
    <row r="712" spans="1:15" ht="12.3">
      <c r="A712" s="23"/>
      <c r="E712" s="670"/>
      <c r="F712" s="670"/>
      <c r="O712" s="672"/>
    </row>
    <row r="713" spans="1:15" ht="12.3">
      <c r="A713" s="23"/>
      <c r="E713" s="670"/>
      <c r="F713" s="670"/>
      <c r="O713" s="672"/>
    </row>
    <row r="714" spans="1:15" ht="12.3">
      <c r="A714" s="23"/>
      <c r="E714" s="670"/>
      <c r="F714" s="670"/>
      <c r="O714" s="672"/>
    </row>
    <row r="715" spans="1:15" ht="12.3">
      <c r="A715" s="23"/>
      <c r="E715" s="670"/>
      <c r="F715" s="670"/>
      <c r="O715" s="672"/>
    </row>
    <row r="716" spans="1:15" ht="12.3">
      <c r="A716" s="23"/>
      <c r="E716" s="670"/>
      <c r="F716" s="670"/>
      <c r="O716" s="672"/>
    </row>
    <row r="717" spans="1:15" ht="12.3">
      <c r="A717" s="23"/>
      <c r="E717" s="670"/>
      <c r="F717" s="670"/>
      <c r="O717" s="672"/>
    </row>
    <row r="718" spans="1:15" ht="12.3">
      <c r="A718" s="23"/>
      <c r="E718" s="670"/>
      <c r="F718" s="670"/>
      <c r="O718" s="672"/>
    </row>
    <row r="719" spans="1:15" ht="12.3">
      <c r="A719" s="23"/>
      <c r="E719" s="670"/>
      <c r="F719" s="670"/>
      <c r="O719" s="672"/>
    </row>
    <row r="720" spans="1:15" ht="12.3">
      <c r="A720" s="23"/>
      <c r="E720" s="670"/>
      <c r="F720" s="670"/>
      <c r="O720" s="672"/>
    </row>
    <row r="721" spans="1:15" ht="12.3">
      <c r="A721" s="23"/>
      <c r="E721" s="670"/>
      <c r="F721" s="670"/>
      <c r="O721" s="672"/>
    </row>
    <row r="722" spans="1:15" ht="12.3">
      <c r="A722" s="23"/>
      <c r="E722" s="670"/>
      <c r="F722" s="670"/>
      <c r="O722" s="672"/>
    </row>
    <row r="723" spans="1:15" ht="12.3">
      <c r="A723" s="23"/>
      <c r="E723" s="670"/>
      <c r="F723" s="670"/>
      <c r="O723" s="672"/>
    </row>
    <row r="724" spans="1:15" ht="12.3">
      <c r="A724" s="23"/>
      <c r="E724" s="670"/>
      <c r="F724" s="670"/>
      <c r="O724" s="672"/>
    </row>
    <row r="725" spans="1:15" ht="12.3">
      <c r="A725" s="23"/>
      <c r="E725" s="670"/>
      <c r="F725" s="670"/>
      <c r="O725" s="672"/>
    </row>
    <row r="726" spans="1:15" ht="12.3">
      <c r="A726" s="23"/>
      <c r="E726" s="670"/>
      <c r="F726" s="670"/>
      <c r="O726" s="672"/>
    </row>
    <row r="727" spans="1:15" ht="12.3">
      <c r="A727" s="23"/>
      <c r="E727" s="670"/>
      <c r="F727" s="670"/>
      <c r="O727" s="672"/>
    </row>
    <row r="728" spans="1:15" ht="12.3">
      <c r="A728" s="23"/>
      <c r="E728" s="670"/>
      <c r="F728" s="670"/>
      <c r="O728" s="672"/>
    </row>
    <row r="729" spans="1:15" ht="12.3">
      <c r="A729" s="23"/>
      <c r="E729" s="670"/>
      <c r="F729" s="670"/>
      <c r="O729" s="672"/>
    </row>
    <row r="730" spans="1:15" ht="12.3">
      <c r="A730" s="23"/>
      <c r="E730" s="670"/>
      <c r="F730" s="670"/>
      <c r="O730" s="672"/>
    </row>
    <row r="731" spans="1:15" ht="12.3">
      <c r="A731" s="23"/>
      <c r="E731" s="670"/>
      <c r="F731" s="670"/>
      <c r="O731" s="672"/>
    </row>
    <row r="732" spans="1:15" ht="12.3">
      <c r="A732" s="23"/>
      <c r="E732" s="670"/>
      <c r="F732" s="670"/>
      <c r="O732" s="672"/>
    </row>
    <row r="733" spans="1:15" ht="12.3">
      <c r="A733" s="23"/>
      <c r="E733" s="670"/>
      <c r="F733" s="670"/>
      <c r="O733" s="672"/>
    </row>
    <row r="734" spans="1:15" ht="12.3">
      <c r="A734" s="23"/>
      <c r="E734" s="670"/>
      <c r="F734" s="670"/>
      <c r="O734" s="672"/>
    </row>
    <row r="735" spans="1:15" ht="12.3">
      <c r="A735" s="23"/>
      <c r="E735" s="670"/>
      <c r="F735" s="670"/>
      <c r="O735" s="672"/>
    </row>
    <row r="736" spans="1:15" ht="12.3">
      <c r="A736" s="23"/>
      <c r="E736" s="670"/>
      <c r="F736" s="670"/>
      <c r="O736" s="672"/>
    </row>
    <row r="737" spans="1:15" ht="12.3">
      <c r="A737" s="23"/>
      <c r="E737" s="670"/>
      <c r="F737" s="670"/>
      <c r="O737" s="672"/>
    </row>
    <row r="738" spans="1:15" ht="12.3">
      <c r="A738" s="23"/>
      <c r="E738" s="670"/>
      <c r="F738" s="670"/>
      <c r="O738" s="672"/>
    </row>
    <row r="739" spans="1:15" ht="12.3">
      <c r="A739" s="23"/>
      <c r="E739" s="670"/>
      <c r="F739" s="670"/>
      <c r="O739" s="672"/>
    </row>
    <row r="740" spans="1:15" ht="12.3">
      <c r="A740" s="23"/>
      <c r="E740" s="670"/>
      <c r="F740" s="670"/>
      <c r="O740" s="672"/>
    </row>
    <row r="741" spans="1:15" ht="12.3">
      <c r="A741" s="23"/>
      <c r="E741" s="670"/>
      <c r="F741" s="670"/>
      <c r="O741" s="672"/>
    </row>
    <row r="742" spans="1:15" ht="12.3">
      <c r="A742" s="23"/>
      <c r="E742" s="670"/>
      <c r="F742" s="670"/>
      <c r="O742" s="672"/>
    </row>
    <row r="743" spans="1:15" ht="12.3">
      <c r="A743" s="23"/>
      <c r="E743" s="670"/>
      <c r="F743" s="670"/>
      <c r="O743" s="672"/>
    </row>
    <row r="744" spans="1:15" ht="12.3">
      <c r="A744" s="23"/>
      <c r="E744" s="670"/>
      <c r="F744" s="670"/>
      <c r="O744" s="672"/>
    </row>
    <row r="745" spans="1:15" ht="12.3">
      <c r="A745" s="23"/>
      <c r="E745" s="670"/>
      <c r="F745" s="670"/>
      <c r="O745" s="672"/>
    </row>
    <row r="746" spans="1:15" ht="12.3">
      <c r="A746" s="23"/>
      <c r="E746" s="670"/>
      <c r="F746" s="670"/>
      <c r="O746" s="672"/>
    </row>
    <row r="747" spans="1:15" ht="12.3">
      <c r="A747" s="23"/>
      <c r="E747" s="670"/>
      <c r="F747" s="670"/>
      <c r="O747" s="672"/>
    </row>
    <row r="748" spans="1:15" ht="12.3">
      <c r="A748" s="23"/>
      <c r="E748" s="670"/>
      <c r="F748" s="670"/>
      <c r="O748" s="672"/>
    </row>
    <row r="749" spans="1:15" ht="12.3">
      <c r="A749" s="23"/>
      <c r="E749" s="670"/>
      <c r="F749" s="670"/>
      <c r="O749" s="672"/>
    </row>
    <row r="750" spans="1:15" ht="12.3">
      <c r="A750" s="23"/>
      <c r="E750" s="670"/>
      <c r="F750" s="670"/>
      <c r="O750" s="672"/>
    </row>
    <row r="751" spans="1:15" ht="12.3">
      <c r="A751" s="23"/>
      <c r="E751" s="670"/>
      <c r="F751" s="670"/>
      <c r="O751" s="672"/>
    </row>
    <row r="752" spans="1:15" ht="12.3">
      <c r="A752" s="23"/>
      <c r="E752" s="670"/>
      <c r="F752" s="670"/>
      <c r="O752" s="672"/>
    </row>
    <row r="753" spans="1:15" ht="12.3">
      <c r="A753" s="23"/>
      <c r="E753" s="670"/>
      <c r="F753" s="670"/>
      <c r="O753" s="672"/>
    </row>
    <row r="754" spans="1:15" ht="12.3">
      <c r="A754" s="23"/>
      <c r="E754" s="670"/>
      <c r="F754" s="670"/>
      <c r="O754" s="672"/>
    </row>
    <row r="755" spans="1:15" ht="12.3">
      <c r="A755" s="23"/>
      <c r="E755" s="670"/>
      <c r="F755" s="670"/>
      <c r="O755" s="672"/>
    </row>
    <row r="756" spans="1:15" ht="12.3">
      <c r="A756" s="23"/>
      <c r="E756" s="670"/>
      <c r="F756" s="670"/>
      <c r="O756" s="672"/>
    </row>
    <row r="757" spans="1:15" ht="12.3">
      <c r="A757" s="23"/>
      <c r="E757" s="670"/>
      <c r="F757" s="670"/>
      <c r="O757" s="672"/>
    </row>
    <row r="758" spans="1:15" ht="12.3">
      <c r="A758" s="23"/>
      <c r="E758" s="670"/>
      <c r="F758" s="670"/>
      <c r="O758" s="672"/>
    </row>
    <row r="759" spans="1:15" ht="12.3">
      <c r="A759" s="23"/>
      <c r="E759" s="670"/>
      <c r="F759" s="670"/>
      <c r="O759" s="672"/>
    </row>
    <row r="760" spans="1:15" ht="12.3">
      <c r="A760" s="23"/>
      <c r="E760" s="670"/>
      <c r="F760" s="670"/>
      <c r="O760" s="672"/>
    </row>
    <row r="761" spans="1:15" ht="12.3">
      <c r="A761" s="23"/>
      <c r="E761" s="670"/>
      <c r="F761" s="670"/>
      <c r="O761" s="672"/>
    </row>
    <row r="762" spans="1:15" ht="12.3">
      <c r="A762" s="23"/>
      <c r="E762" s="670"/>
      <c r="F762" s="670"/>
      <c r="O762" s="672"/>
    </row>
    <row r="763" spans="1:15" ht="12.3">
      <c r="A763" s="23"/>
      <c r="E763" s="670"/>
      <c r="F763" s="670"/>
      <c r="O763" s="672"/>
    </row>
    <row r="764" spans="1:15" ht="12.3">
      <c r="A764" s="23"/>
      <c r="E764" s="670"/>
      <c r="F764" s="670"/>
      <c r="O764" s="672"/>
    </row>
    <row r="765" spans="1:15" ht="12.3">
      <c r="A765" s="23"/>
      <c r="E765" s="670"/>
      <c r="F765" s="670"/>
      <c r="O765" s="672"/>
    </row>
    <row r="766" spans="1:15" ht="12.3">
      <c r="A766" s="23"/>
      <c r="E766" s="670"/>
      <c r="F766" s="670"/>
      <c r="O766" s="672"/>
    </row>
    <row r="767" spans="1:15" ht="12.3">
      <c r="A767" s="23"/>
      <c r="E767" s="670"/>
      <c r="F767" s="670"/>
      <c r="O767" s="672"/>
    </row>
    <row r="768" spans="1:15" ht="12.3">
      <c r="A768" s="23"/>
      <c r="E768" s="670"/>
      <c r="F768" s="670"/>
      <c r="O768" s="672"/>
    </row>
    <row r="769" spans="1:15" ht="12.3">
      <c r="A769" s="23"/>
      <c r="E769" s="670"/>
      <c r="F769" s="670"/>
      <c r="O769" s="672"/>
    </row>
    <row r="770" spans="1:15" ht="12.3">
      <c r="A770" s="23"/>
      <c r="E770" s="670"/>
      <c r="F770" s="670"/>
      <c r="O770" s="672"/>
    </row>
    <row r="771" spans="1:15" ht="12.3">
      <c r="A771" s="23"/>
      <c r="E771" s="670"/>
      <c r="F771" s="670"/>
      <c r="O771" s="672"/>
    </row>
    <row r="772" spans="1:15" ht="12.3">
      <c r="A772" s="23"/>
      <c r="E772" s="670"/>
      <c r="F772" s="670"/>
      <c r="O772" s="672"/>
    </row>
    <row r="773" spans="1:15" ht="12.3">
      <c r="A773" s="23"/>
      <c r="E773" s="670"/>
      <c r="F773" s="670"/>
      <c r="O773" s="672"/>
    </row>
    <row r="774" spans="1:15" ht="12.3">
      <c r="A774" s="23"/>
      <c r="E774" s="670"/>
      <c r="F774" s="670"/>
      <c r="O774" s="672"/>
    </row>
    <row r="775" spans="1:15" ht="12.3">
      <c r="A775" s="23"/>
      <c r="E775" s="670"/>
      <c r="F775" s="670"/>
      <c r="O775" s="672"/>
    </row>
    <row r="776" spans="1:15" ht="12.3">
      <c r="A776" s="23"/>
      <c r="E776" s="670"/>
      <c r="F776" s="670"/>
      <c r="O776" s="672"/>
    </row>
    <row r="777" spans="1:15" ht="12.3">
      <c r="A777" s="23"/>
      <c r="E777" s="670"/>
      <c r="F777" s="670"/>
      <c r="O777" s="672"/>
    </row>
    <row r="778" spans="1:15" ht="12.3">
      <c r="A778" s="23"/>
      <c r="E778" s="670"/>
      <c r="F778" s="670"/>
      <c r="O778" s="672"/>
    </row>
    <row r="779" spans="1:15" ht="12.3">
      <c r="A779" s="23"/>
      <c r="E779" s="670"/>
      <c r="F779" s="670"/>
      <c r="O779" s="672"/>
    </row>
    <row r="780" spans="1:15" ht="12.3">
      <c r="A780" s="23"/>
      <c r="E780" s="670"/>
      <c r="F780" s="670"/>
      <c r="O780" s="672"/>
    </row>
    <row r="781" spans="1:15" ht="12.3">
      <c r="A781" s="23"/>
      <c r="E781" s="670"/>
      <c r="F781" s="670"/>
      <c r="O781" s="672"/>
    </row>
    <row r="782" spans="1:15" ht="12.3">
      <c r="A782" s="23"/>
      <c r="E782" s="670"/>
      <c r="F782" s="670"/>
      <c r="O782" s="672"/>
    </row>
    <row r="783" spans="1:15" ht="12.3">
      <c r="A783" s="23"/>
      <c r="E783" s="670"/>
      <c r="F783" s="670"/>
      <c r="O783" s="672"/>
    </row>
    <row r="784" spans="1:15" ht="12.3">
      <c r="A784" s="23"/>
      <c r="E784" s="670"/>
      <c r="F784" s="670"/>
      <c r="O784" s="672"/>
    </row>
    <row r="785" spans="1:15" ht="12.3">
      <c r="A785" s="23"/>
      <c r="E785" s="670"/>
      <c r="F785" s="670"/>
      <c r="O785" s="672"/>
    </row>
    <row r="786" spans="1:15" ht="12.3">
      <c r="A786" s="23"/>
      <c r="E786" s="670"/>
      <c r="F786" s="670"/>
      <c r="O786" s="672"/>
    </row>
    <row r="787" spans="1:15" ht="12.3">
      <c r="A787" s="23"/>
      <c r="E787" s="670"/>
      <c r="F787" s="670"/>
      <c r="O787" s="672"/>
    </row>
    <row r="788" spans="1:15" ht="12.3">
      <c r="A788" s="23"/>
      <c r="E788" s="670"/>
      <c r="F788" s="670"/>
      <c r="O788" s="672"/>
    </row>
    <row r="789" spans="1:15" ht="12.3">
      <c r="A789" s="23"/>
      <c r="E789" s="670"/>
      <c r="F789" s="670"/>
      <c r="O789" s="672"/>
    </row>
    <row r="790" spans="1:15" ht="12.3">
      <c r="A790" s="23"/>
      <c r="E790" s="670"/>
      <c r="F790" s="670"/>
      <c r="O790" s="672"/>
    </row>
    <row r="791" spans="1:15" ht="12.3">
      <c r="A791" s="23"/>
      <c r="E791" s="670"/>
      <c r="F791" s="670"/>
      <c r="O791" s="672"/>
    </row>
    <row r="792" spans="1:15" ht="12.3">
      <c r="A792" s="23"/>
      <c r="E792" s="670"/>
      <c r="F792" s="670"/>
      <c r="O792" s="672"/>
    </row>
    <row r="793" spans="1:15" ht="12.3">
      <c r="A793" s="23"/>
      <c r="E793" s="670"/>
      <c r="F793" s="670"/>
      <c r="O793" s="672"/>
    </row>
    <row r="794" spans="1:15" ht="12.3">
      <c r="A794" s="23"/>
      <c r="E794" s="670"/>
      <c r="F794" s="670"/>
      <c r="O794" s="672"/>
    </row>
    <row r="795" spans="1:15" ht="12.3">
      <c r="A795" s="23"/>
      <c r="E795" s="670"/>
      <c r="F795" s="670"/>
      <c r="O795" s="672"/>
    </row>
    <row r="796" spans="1:15" ht="12.3">
      <c r="A796" s="23"/>
      <c r="E796" s="670"/>
      <c r="F796" s="670"/>
      <c r="O796" s="672"/>
    </row>
    <row r="797" spans="1:15" ht="12.3">
      <c r="A797" s="23"/>
      <c r="E797" s="670"/>
      <c r="F797" s="670"/>
      <c r="O797" s="672"/>
    </row>
    <row r="798" spans="1:15" ht="12.3">
      <c r="A798" s="23"/>
      <c r="E798" s="670"/>
      <c r="F798" s="670"/>
      <c r="O798" s="672"/>
    </row>
    <row r="799" spans="1:15" ht="12.3">
      <c r="A799" s="23"/>
      <c r="E799" s="670"/>
      <c r="F799" s="670"/>
      <c r="O799" s="672"/>
    </row>
    <row r="800" spans="1:15" ht="12.3">
      <c r="A800" s="23"/>
      <c r="E800" s="670"/>
      <c r="F800" s="670"/>
      <c r="O800" s="672"/>
    </row>
    <row r="801" spans="1:15" ht="12.3">
      <c r="A801" s="23"/>
      <c r="E801" s="670"/>
      <c r="F801" s="670"/>
      <c r="O801" s="672"/>
    </row>
    <row r="802" spans="1:15" ht="12.3">
      <c r="A802" s="23"/>
      <c r="E802" s="670"/>
      <c r="F802" s="670"/>
      <c r="O802" s="672"/>
    </row>
    <row r="803" spans="1:15" ht="12.3">
      <c r="A803" s="23"/>
      <c r="E803" s="670"/>
      <c r="F803" s="670"/>
      <c r="O803" s="672"/>
    </row>
    <row r="804" spans="1:15" ht="12.3">
      <c r="A804" s="23"/>
      <c r="E804" s="670"/>
      <c r="F804" s="670"/>
      <c r="O804" s="672"/>
    </row>
    <row r="805" spans="1:15" ht="12.3">
      <c r="A805" s="23"/>
      <c r="E805" s="670"/>
      <c r="F805" s="670"/>
      <c r="O805" s="672"/>
    </row>
    <row r="806" spans="1:15" ht="12.3">
      <c r="A806" s="23"/>
      <c r="E806" s="670"/>
      <c r="F806" s="670"/>
      <c r="O806" s="672"/>
    </row>
    <row r="807" spans="1:15" ht="12.3">
      <c r="A807" s="23"/>
      <c r="E807" s="670"/>
      <c r="F807" s="670"/>
      <c r="O807" s="672"/>
    </row>
    <row r="808" spans="1:15" ht="12.3">
      <c r="A808" s="23"/>
      <c r="E808" s="670"/>
      <c r="F808" s="670"/>
      <c r="O808" s="672"/>
    </row>
    <row r="809" spans="1:15" ht="12.3">
      <c r="A809" s="23"/>
      <c r="E809" s="670"/>
      <c r="F809" s="670"/>
      <c r="O809" s="672"/>
    </row>
    <row r="810" spans="1:15" ht="12.3">
      <c r="A810" s="23"/>
      <c r="E810" s="670"/>
      <c r="F810" s="670"/>
      <c r="O810" s="672"/>
    </row>
    <row r="811" spans="1:15" ht="12.3">
      <c r="A811" s="23"/>
      <c r="E811" s="670"/>
      <c r="F811" s="670"/>
      <c r="O811" s="672"/>
    </row>
    <row r="812" spans="1:15" ht="12.3">
      <c r="A812" s="23"/>
      <c r="E812" s="670"/>
      <c r="F812" s="670"/>
      <c r="O812" s="672"/>
    </row>
    <row r="813" spans="1:15" ht="12.3">
      <c r="A813" s="23"/>
      <c r="E813" s="670"/>
      <c r="F813" s="670"/>
      <c r="O813" s="672"/>
    </row>
    <row r="814" spans="1:15" ht="12.3">
      <c r="A814" s="23"/>
      <c r="E814" s="670"/>
      <c r="F814" s="670"/>
      <c r="O814" s="672"/>
    </row>
    <row r="815" spans="1:15" ht="12.3">
      <c r="A815" s="23"/>
      <c r="E815" s="670"/>
      <c r="F815" s="670"/>
      <c r="O815" s="672"/>
    </row>
    <row r="816" spans="1:15" ht="12.3">
      <c r="A816" s="23"/>
      <c r="E816" s="670"/>
      <c r="F816" s="670"/>
      <c r="O816" s="672"/>
    </row>
    <row r="817" spans="1:15" ht="12.3">
      <c r="A817" s="23"/>
      <c r="E817" s="670"/>
      <c r="F817" s="670"/>
      <c r="O817" s="672"/>
    </row>
    <row r="818" spans="1:15" ht="12.3">
      <c r="A818" s="23"/>
      <c r="E818" s="670"/>
      <c r="F818" s="670"/>
      <c r="O818" s="672"/>
    </row>
    <row r="819" spans="1:15" ht="12.3">
      <c r="A819" s="23"/>
      <c r="E819" s="670"/>
      <c r="F819" s="670"/>
      <c r="O819" s="672"/>
    </row>
    <row r="820" spans="1:15" ht="12.3">
      <c r="A820" s="23"/>
      <c r="E820" s="670"/>
      <c r="F820" s="670"/>
      <c r="O820" s="672"/>
    </row>
    <row r="821" spans="1:15" ht="12.3">
      <c r="A821" s="23"/>
      <c r="E821" s="670"/>
      <c r="F821" s="670"/>
      <c r="O821" s="672"/>
    </row>
    <row r="822" spans="1:15" ht="12.3">
      <c r="A822" s="23"/>
      <c r="E822" s="670"/>
      <c r="F822" s="670"/>
      <c r="O822" s="672"/>
    </row>
    <row r="823" spans="1:15" ht="12.3">
      <c r="A823" s="23"/>
      <c r="E823" s="670"/>
      <c r="F823" s="670"/>
      <c r="O823" s="672"/>
    </row>
    <row r="824" spans="1:15" ht="12.3">
      <c r="A824" s="23"/>
      <c r="E824" s="670"/>
      <c r="F824" s="670"/>
      <c r="O824" s="672"/>
    </row>
    <row r="825" spans="1:15" ht="12.3">
      <c r="A825" s="23"/>
      <c r="E825" s="670"/>
      <c r="F825" s="670"/>
      <c r="O825" s="672"/>
    </row>
    <row r="826" spans="1:15" ht="12.3">
      <c r="A826" s="23"/>
      <c r="E826" s="670"/>
      <c r="F826" s="670"/>
      <c r="O826" s="672"/>
    </row>
    <row r="827" spans="1:15" ht="12.3">
      <c r="A827" s="23"/>
      <c r="E827" s="670"/>
      <c r="F827" s="670"/>
      <c r="O827" s="672"/>
    </row>
    <row r="828" spans="1:15" ht="12.3">
      <c r="A828" s="23"/>
      <c r="E828" s="670"/>
      <c r="F828" s="670"/>
      <c r="O828" s="672"/>
    </row>
    <row r="829" spans="1:15" ht="12.3">
      <c r="A829" s="23"/>
      <c r="E829" s="670"/>
      <c r="F829" s="670"/>
      <c r="O829" s="672"/>
    </row>
    <row r="830" spans="1:15" ht="12.3">
      <c r="A830" s="23"/>
      <c r="E830" s="670"/>
      <c r="F830" s="670"/>
      <c r="O830" s="672"/>
    </row>
    <row r="831" spans="1:15" ht="12.3">
      <c r="A831" s="23"/>
      <c r="E831" s="670"/>
      <c r="F831" s="670"/>
      <c r="O831" s="672"/>
    </row>
    <row r="832" spans="1:15" ht="12.3">
      <c r="A832" s="23"/>
      <c r="E832" s="670"/>
      <c r="F832" s="670"/>
      <c r="O832" s="672"/>
    </row>
    <row r="833" spans="1:15" ht="12.3">
      <c r="A833" s="23"/>
      <c r="E833" s="670"/>
      <c r="F833" s="670"/>
      <c r="O833" s="672"/>
    </row>
    <row r="834" spans="1:15" ht="12.3">
      <c r="A834" s="23"/>
      <c r="E834" s="670"/>
      <c r="F834" s="670"/>
      <c r="O834" s="672"/>
    </row>
    <row r="835" spans="1:15" ht="12.3">
      <c r="A835" s="23"/>
      <c r="E835" s="670"/>
      <c r="F835" s="670"/>
      <c r="O835" s="672"/>
    </row>
    <row r="836" spans="1:15" ht="12.3">
      <c r="A836" s="23"/>
      <c r="E836" s="670"/>
      <c r="F836" s="670"/>
      <c r="O836" s="672"/>
    </row>
    <row r="837" spans="1:15" ht="12.3">
      <c r="A837" s="23"/>
      <c r="E837" s="670"/>
      <c r="F837" s="670"/>
      <c r="O837" s="672"/>
    </row>
    <row r="838" spans="1:15" ht="12.3">
      <c r="A838" s="23"/>
      <c r="E838" s="670"/>
      <c r="F838" s="670"/>
      <c r="O838" s="672"/>
    </row>
    <row r="839" spans="1:15" ht="12.3">
      <c r="A839" s="23"/>
      <c r="E839" s="670"/>
      <c r="F839" s="670"/>
      <c r="O839" s="672"/>
    </row>
    <row r="840" spans="1:15" ht="12.3">
      <c r="A840" s="23"/>
      <c r="E840" s="670"/>
      <c r="F840" s="670"/>
      <c r="O840" s="672"/>
    </row>
    <row r="841" spans="1:15" ht="12.3">
      <c r="A841" s="23"/>
      <c r="E841" s="670"/>
      <c r="F841" s="670"/>
      <c r="O841" s="672"/>
    </row>
    <row r="842" spans="1:15" ht="12.3">
      <c r="A842" s="23"/>
      <c r="E842" s="670"/>
      <c r="F842" s="670"/>
      <c r="O842" s="672"/>
    </row>
    <row r="843" spans="1:15" ht="12.3">
      <c r="A843" s="23"/>
      <c r="E843" s="670"/>
      <c r="F843" s="670"/>
      <c r="O843" s="672"/>
    </row>
    <row r="844" spans="1:15" ht="12.3">
      <c r="A844" s="23"/>
      <c r="E844" s="670"/>
      <c r="F844" s="670"/>
      <c r="O844" s="672"/>
    </row>
    <row r="845" spans="1:15" ht="12.3">
      <c r="A845" s="23"/>
      <c r="E845" s="670"/>
      <c r="F845" s="670"/>
      <c r="O845" s="672"/>
    </row>
    <row r="846" spans="1:15" ht="12.3">
      <c r="A846" s="23"/>
      <c r="E846" s="670"/>
      <c r="F846" s="670"/>
      <c r="O846" s="672"/>
    </row>
    <row r="847" spans="1:15" ht="12.3">
      <c r="A847" s="23"/>
      <c r="E847" s="670"/>
      <c r="F847" s="670"/>
      <c r="O847" s="672"/>
    </row>
    <row r="848" spans="1:15" ht="12.3">
      <c r="A848" s="23"/>
      <c r="E848" s="670"/>
      <c r="F848" s="670"/>
      <c r="O848" s="672"/>
    </row>
    <row r="849" spans="1:15" ht="12.3">
      <c r="A849" s="23"/>
      <c r="E849" s="670"/>
      <c r="F849" s="670"/>
      <c r="O849" s="672"/>
    </row>
    <row r="850" spans="1:15" ht="12.3">
      <c r="A850" s="23"/>
      <c r="E850" s="670"/>
      <c r="F850" s="670"/>
      <c r="O850" s="672"/>
    </row>
    <row r="851" spans="1:15" ht="12.3">
      <c r="A851" s="23"/>
      <c r="E851" s="670"/>
      <c r="F851" s="670"/>
      <c r="O851" s="672"/>
    </row>
    <row r="852" spans="1:15" ht="12.3">
      <c r="A852" s="23"/>
      <c r="E852" s="670"/>
      <c r="F852" s="670"/>
      <c r="O852" s="672"/>
    </row>
    <row r="853" spans="1:15" ht="12.3">
      <c r="A853" s="23"/>
      <c r="E853" s="670"/>
      <c r="F853" s="670"/>
      <c r="O853" s="672"/>
    </row>
    <row r="854" spans="1:15" ht="12.3">
      <c r="A854" s="23"/>
      <c r="E854" s="670"/>
      <c r="F854" s="670"/>
      <c r="O854" s="672"/>
    </row>
    <row r="855" spans="1:15" ht="12.3">
      <c r="A855" s="23"/>
      <c r="E855" s="670"/>
      <c r="F855" s="670"/>
      <c r="O855" s="672"/>
    </row>
    <row r="856" spans="1:15" ht="12.3">
      <c r="A856" s="23"/>
      <c r="E856" s="670"/>
      <c r="F856" s="670"/>
      <c r="O856" s="672"/>
    </row>
    <row r="857" spans="1:15" ht="12.3">
      <c r="A857" s="23"/>
      <c r="E857" s="670"/>
      <c r="F857" s="670"/>
      <c r="O857" s="672"/>
    </row>
    <row r="858" spans="1:15" ht="12.3">
      <c r="A858" s="23"/>
      <c r="E858" s="670"/>
      <c r="F858" s="670"/>
      <c r="O858" s="672"/>
    </row>
    <row r="859" spans="1:15" ht="12.3">
      <c r="A859" s="23"/>
      <c r="E859" s="670"/>
      <c r="F859" s="670"/>
      <c r="O859" s="672"/>
    </row>
    <row r="860" spans="1:15" ht="12.3">
      <c r="A860" s="23"/>
      <c r="E860" s="670"/>
      <c r="F860" s="670"/>
      <c r="O860" s="672"/>
    </row>
    <row r="861" spans="1:15" ht="12.3">
      <c r="A861" s="23"/>
      <c r="E861" s="670"/>
      <c r="F861" s="670"/>
      <c r="O861" s="672"/>
    </row>
    <row r="862" spans="1:15" ht="12.3">
      <c r="A862" s="23"/>
      <c r="E862" s="670"/>
      <c r="F862" s="670"/>
      <c r="O862" s="672"/>
    </row>
    <row r="863" spans="1:15" ht="12.3">
      <c r="A863" s="23"/>
      <c r="E863" s="670"/>
      <c r="F863" s="670"/>
      <c r="O863" s="672"/>
    </row>
    <row r="864" spans="1:15" ht="12.3">
      <c r="A864" s="23"/>
      <c r="E864" s="670"/>
      <c r="F864" s="670"/>
      <c r="O864" s="672"/>
    </row>
    <row r="865" spans="1:15" ht="12.3">
      <c r="A865" s="23"/>
      <c r="E865" s="670"/>
      <c r="F865" s="670"/>
      <c r="O865" s="672"/>
    </row>
    <row r="866" spans="1:15" ht="12.3">
      <c r="A866" s="23"/>
      <c r="E866" s="670"/>
      <c r="F866" s="670"/>
      <c r="O866" s="672"/>
    </row>
    <row r="867" spans="1:15" ht="12.3">
      <c r="A867" s="23"/>
      <c r="E867" s="670"/>
      <c r="F867" s="670"/>
      <c r="O867" s="672"/>
    </row>
    <row r="868" spans="1:15" ht="12.3">
      <c r="A868" s="23"/>
      <c r="E868" s="670"/>
      <c r="F868" s="670"/>
      <c r="O868" s="672"/>
    </row>
    <row r="869" spans="1:15" ht="12.3">
      <c r="A869" s="23"/>
      <c r="E869" s="670"/>
      <c r="F869" s="670"/>
      <c r="O869" s="672"/>
    </row>
    <row r="870" spans="1:15" ht="12.3">
      <c r="A870" s="23"/>
      <c r="E870" s="670"/>
      <c r="F870" s="670"/>
      <c r="O870" s="672"/>
    </row>
    <row r="871" spans="1:15" ht="12.3">
      <c r="A871" s="23"/>
      <c r="E871" s="670"/>
      <c r="F871" s="670"/>
      <c r="O871" s="672"/>
    </row>
    <row r="872" spans="1:15" ht="12.3">
      <c r="A872" s="23"/>
      <c r="E872" s="670"/>
      <c r="F872" s="670"/>
      <c r="O872" s="672"/>
    </row>
    <row r="873" spans="1:15" ht="12.3">
      <c r="A873" s="23"/>
      <c r="E873" s="670"/>
      <c r="F873" s="670"/>
      <c r="O873" s="672"/>
    </row>
    <row r="874" spans="1:15" ht="12.3">
      <c r="A874" s="23"/>
      <c r="E874" s="670"/>
      <c r="F874" s="670"/>
      <c r="O874" s="672"/>
    </row>
    <row r="875" spans="1:15" ht="12.3">
      <c r="A875" s="23"/>
      <c r="E875" s="670"/>
      <c r="F875" s="670"/>
      <c r="O875" s="672"/>
    </row>
    <row r="876" spans="1:15" ht="12.3">
      <c r="A876" s="23"/>
      <c r="E876" s="670"/>
      <c r="F876" s="670"/>
      <c r="O876" s="672"/>
    </row>
    <row r="877" spans="1:15" ht="12.3">
      <c r="A877" s="23"/>
      <c r="E877" s="670"/>
      <c r="F877" s="670"/>
      <c r="O877" s="672"/>
    </row>
    <row r="878" spans="1:15" ht="12.3">
      <c r="A878" s="23"/>
      <c r="E878" s="670"/>
      <c r="F878" s="670"/>
      <c r="O878" s="672"/>
    </row>
    <row r="879" spans="1:15" ht="12.3">
      <c r="A879" s="23"/>
      <c r="E879" s="670"/>
      <c r="F879" s="670"/>
      <c r="O879" s="672"/>
    </row>
    <row r="880" spans="1:15" ht="12.3">
      <c r="A880" s="23"/>
      <c r="E880" s="670"/>
      <c r="F880" s="670"/>
      <c r="O880" s="672"/>
    </row>
    <row r="881" spans="1:15" ht="12.3">
      <c r="A881" s="23"/>
      <c r="E881" s="670"/>
      <c r="F881" s="670"/>
      <c r="O881" s="672"/>
    </row>
    <row r="882" spans="1:15" ht="12.3">
      <c r="A882" s="23"/>
      <c r="E882" s="670"/>
      <c r="F882" s="670"/>
      <c r="O882" s="672"/>
    </row>
    <row r="883" spans="1:15" ht="12.3">
      <c r="A883" s="23"/>
      <c r="E883" s="670"/>
      <c r="F883" s="670"/>
      <c r="O883" s="672"/>
    </row>
    <row r="884" spans="1:15" ht="12.3">
      <c r="A884" s="23"/>
      <c r="E884" s="670"/>
      <c r="F884" s="670"/>
      <c r="O884" s="672"/>
    </row>
    <row r="885" spans="1:15" ht="12.3">
      <c r="A885" s="23"/>
      <c r="E885" s="670"/>
      <c r="F885" s="670"/>
      <c r="O885" s="672"/>
    </row>
    <row r="886" spans="1:15" ht="12.3">
      <c r="A886" s="23"/>
      <c r="E886" s="670"/>
      <c r="F886" s="670"/>
      <c r="O886" s="672"/>
    </row>
    <row r="887" spans="1:15" ht="12.3">
      <c r="A887" s="23"/>
      <c r="E887" s="670"/>
      <c r="F887" s="670"/>
      <c r="O887" s="672"/>
    </row>
    <row r="888" spans="1:15" ht="12.3">
      <c r="A888" s="23"/>
      <c r="E888" s="670"/>
      <c r="F888" s="670"/>
      <c r="O888" s="672"/>
    </row>
    <row r="889" spans="1:15" ht="12.3">
      <c r="A889" s="23"/>
      <c r="E889" s="670"/>
      <c r="F889" s="670"/>
      <c r="O889" s="672"/>
    </row>
    <row r="890" spans="1:15" ht="12.3">
      <c r="A890" s="23"/>
      <c r="E890" s="670"/>
      <c r="F890" s="670"/>
      <c r="O890" s="672"/>
    </row>
    <row r="891" spans="1:15" ht="12.3">
      <c r="A891" s="23"/>
      <c r="E891" s="670"/>
      <c r="F891" s="670"/>
      <c r="O891" s="672"/>
    </row>
    <row r="892" spans="1:15" ht="12.3">
      <c r="A892" s="23"/>
      <c r="E892" s="670"/>
      <c r="F892" s="670"/>
      <c r="O892" s="672"/>
    </row>
    <row r="893" spans="1:15" ht="12.3">
      <c r="A893" s="23"/>
      <c r="E893" s="670"/>
      <c r="F893" s="670"/>
      <c r="O893" s="672"/>
    </row>
    <row r="894" spans="1:15" ht="12.3">
      <c r="A894" s="23"/>
      <c r="E894" s="670"/>
      <c r="F894" s="670"/>
      <c r="O894" s="672"/>
    </row>
    <row r="895" spans="1:15" ht="12.3">
      <c r="A895" s="23"/>
      <c r="E895" s="670"/>
      <c r="F895" s="670"/>
      <c r="O895" s="672"/>
    </row>
    <row r="896" spans="1:15" ht="12.3">
      <c r="A896" s="23"/>
      <c r="E896" s="670"/>
      <c r="F896" s="670"/>
      <c r="O896" s="672"/>
    </row>
    <row r="897" spans="1:15" ht="12.3">
      <c r="A897" s="23"/>
      <c r="E897" s="670"/>
      <c r="F897" s="670"/>
      <c r="O897" s="672"/>
    </row>
    <row r="898" spans="1:15" ht="12.3">
      <c r="A898" s="23"/>
      <c r="E898" s="670"/>
      <c r="F898" s="670"/>
      <c r="O898" s="672"/>
    </row>
    <row r="899" spans="1:15" ht="12.3">
      <c r="A899" s="23"/>
      <c r="E899" s="670"/>
      <c r="F899" s="670"/>
      <c r="O899" s="672"/>
    </row>
    <row r="900" spans="1:15" ht="12.3">
      <c r="A900" s="23"/>
      <c r="E900" s="670"/>
      <c r="F900" s="670"/>
      <c r="O900" s="672"/>
    </row>
    <row r="901" spans="1:15" ht="12.3">
      <c r="A901" s="23"/>
      <c r="E901" s="670"/>
      <c r="F901" s="670"/>
      <c r="O901" s="672"/>
    </row>
    <row r="902" spans="1:15" ht="12.3">
      <c r="A902" s="23"/>
      <c r="E902" s="670"/>
      <c r="F902" s="670"/>
      <c r="O902" s="672"/>
    </row>
    <row r="903" spans="1:15" ht="12.3">
      <c r="A903" s="23"/>
      <c r="E903" s="670"/>
      <c r="F903" s="670"/>
      <c r="O903" s="672"/>
    </row>
    <row r="904" spans="1:15" ht="12.3">
      <c r="A904" s="23"/>
      <c r="E904" s="670"/>
      <c r="F904" s="670"/>
      <c r="O904" s="672"/>
    </row>
    <row r="905" spans="1:15" ht="12.3">
      <c r="A905" s="23"/>
      <c r="E905" s="670"/>
      <c r="F905" s="670"/>
      <c r="O905" s="672"/>
    </row>
    <row r="906" spans="1:15" ht="12.3">
      <c r="A906" s="23"/>
      <c r="E906" s="670"/>
      <c r="F906" s="670"/>
      <c r="O906" s="672"/>
    </row>
    <row r="907" spans="1:15" ht="12.3">
      <c r="A907" s="23"/>
      <c r="E907" s="670"/>
      <c r="F907" s="670"/>
      <c r="O907" s="672"/>
    </row>
    <row r="908" spans="1:15" ht="12.3">
      <c r="A908" s="23"/>
      <c r="E908" s="670"/>
      <c r="F908" s="670"/>
      <c r="O908" s="672"/>
    </row>
    <row r="909" spans="1:15" ht="12.3">
      <c r="A909" s="23"/>
      <c r="E909" s="670"/>
      <c r="F909" s="670"/>
      <c r="O909" s="672"/>
    </row>
    <row r="910" spans="1:15" ht="12.3">
      <c r="A910" s="23"/>
      <c r="E910" s="670"/>
      <c r="F910" s="670"/>
      <c r="O910" s="672"/>
    </row>
    <row r="911" spans="1:15" ht="12.3">
      <c r="A911" s="23"/>
      <c r="E911" s="670"/>
      <c r="F911" s="670"/>
      <c r="O911" s="672"/>
    </row>
    <row r="912" spans="1:15" ht="12.3">
      <c r="A912" s="23"/>
      <c r="E912" s="670"/>
      <c r="F912" s="670"/>
      <c r="O912" s="672"/>
    </row>
    <row r="913" spans="1:15" ht="12.3">
      <c r="A913" s="23"/>
      <c r="E913" s="670"/>
      <c r="F913" s="670"/>
      <c r="O913" s="672"/>
    </row>
    <row r="914" spans="1:15" ht="12.3">
      <c r="A914" s="23"/>
      <c r="E914" s="670"/>
      <c r="F914" s="670"/>
      <c r="O914" s="672"/>
    </row>
    <row r="915" spans="1:15" ht="12.3">
      <c r="A915" s="23"/>
      <c r="E915" s="670"/>
      <c r="F915" s="670"/>
      <c r="O915" s="672"/>
    </row>
    <row r="916" spans="1:15" ht="12.3">
      <c r="A916" s="23"/>
      <c r="E916" s="670"/>
      <c r="F916" s="670"/>
      <c r="O916" s="672"/>
    </row>
    <row r="917" spans="1:15" ht="12.3">
      <c r="A917" s="23"/>
      <c r="E917" s="670"/>
      <c r="F917" s="670"/>
      <c r="O917" s="672"/>
    </row>
    <row r="918" spans="1:15" ht="12.3">
      <c r="A918" s="23"/>
      <c r="E918" s="670"/>
      <c r="F918" s="670"/>
      <c r="O918" s="672"/>
    </row>
    <row r="919" spans="1:15" ht="12.3">
      <c r="A919" s="23"/>
      <c r="E919" s="670"/>
      <c r="F919" s="670"/>
      <c r="O919" s="672"/>
    </row>
    <row r="920" spans="1:15" ht="12.3">
      <c r="A920" s="23"/>
      <c r="E920" s="670"/>
      <c r="F920" s="670"/>
      <c r="O920" s="672"/>
    </row>
    <row r="921" spans="1:15" ht="12.3">
      <c r="A921" s="23"/>
      <c r="E921" s="670"/>
      <c r="F921" s="670"/>
      <c r="O921" s="672"/>
    </row>
    <row r="922" spans="1:15" ht="12.3">
      <c r="A922" s="23"/>
      <c r="E922" s="670"/>
      <c r="F922" s="670"/>
      <c r="O922" s="672"/>
    </row>
    <row r="923" spans="1:15" ht="12.3">
      <c r="A923" s="23"/>
      <c r="E923" s="670"/>
      <c r="F923" s="670"/>
      <c r="O923" s="672"/>
    </row>
    <row r="924" spans="1:15" ht="12.3">
      <c r="A924" s="23"/>
      <c r="E924" s="670"/>
      <c r="F924" s="670"/>
      <c r="O924" s="672"/>
    </row>
    <row r="925" spans="1:15" ht="12.3">
      <c r="A925" s="23"/>
      <c r="E925" s="670"/>
      <c r="F925" s="670"/>
      <c r="O925" s="672"/>
    </row>
    <row r="926" spans="1:15" ht="12.3">
      <c r="A926" s="23"/>
      <c r="E926" s="670"/>
      <c r="F926" s="670"/>
      <c r="O926" s="672"/>
    </row>
    <row r="927" spans="1:15" ht="12.3">
      <c r="A927" s="23"/>
      <c r="E927" s="670"/>
      <c r="F927" s="670"/>
      <c r="O927" s="672"/>
    </row>
    <row r="928" spans="1:15" ht="12.3">
      <c r="A928" s="23"/>
      <c r="E928" s="670"/>
      <c r="F928" s="670"/>
      <c r="O928" s="672"/>
    </row>
    <row r="929" spans="1:15" ht="12.3">
      <c r="A929" s="23"/>
      <c r="E929" s="670"/>
      <c r="F929" s="670"/>
      <c r="O929" s="672"/>
    </row>
    <row r="930" spans="1:15" ht="12.3">
      <c r="A930" s="23"/>
      <c r="E930" s="670"/>
      <c r="F930" s="670"/>
      <c r="O930" s="672"/>
    </row>
    <row r="931" spans="1:15" ht="12.3">
      <c r="A931" s="23"/>
      <c r="E931" s="670"/>
      <c r="F931" s="670"/>
      <c r="O931" s="672"/>
    </row>
    <row r="932" spans="1:15" ht="12.3">
      <c r="A932" s="23"/>
      <c r="E932" s="670"/>
      <c r="F932" s="670"/>
      <c r="O932" s="672"/>
    </row>
    <row r="933" spans="1:15" ht="12.3">
      <c r="A933" s="23"/>
      <c r="E933" s="670"/>
      <c r="F933" s="670"/>
      <c r="O933" s="672"/>
    </row>
    <row r="934" spans="1:15" ht="12.3">
      <c r="A934" s="23"/>
      <c r="E934" s="670"/>
      <c r="F934" s="670"/>
      <c r="O934" s="672"/>
    </row>
    <row r="935" spans="1:15" ht="12.3">
      <c r="A935" s="23"/>
      <c r="E935" s="670"/>
      <c r="F935" s="670"/>
      <c r="O935" s="672"/>
    </row>
    <row r="936" spans="1:15" ht="12.3">
      <c r="A936" s="23"/>
      <c r="E936" s="670"/>
      <c r="F936" s="670"/>
      <c r="O936" s="672"/>
    </row>
    <row r="937" spans="1:15" ht="12.3">
      <c r="A937" s="23"/>
      <c r="E937" s="670"/>
      <c r="F937" s="670"/>
      <c r="O937" s="672"/>
    </row>
    <row r="938" spans="1:15" ht="12.3">
      <c r="A938" s="23"/>
      <c r="E938" s="670"/>
      <c r="F938" s="670"/>
      <c r="O938" s="672"/>
    </row>
    <row r="939" spans="1:15" ht="12.3">
      <c r="A939" s="23"/>
      <c r="E939" s="670"/>
      <c r="F939" s="670"/>
      <c r="O939" s="672"/>
    </row>
    <row r="940" spans="1:15" ht="12.3">
      <c r="A940" s="23"/>
      <c r="E940" s="670"/>
      <c r="F940" s="670"/>
      <c r="O940" s="672"/>
    </row>
    <row r="941" spans="1:15" ht="12.3">
      <c r="A941" s="23"/>
      <c r="E941" s="670"/>
      <c r="F941" s="670"/>
      <c r="O941" s="672"/>
    </row>
    <row r="942" spans="1:15" ht="12.3">
      <c r="A942" s="23"/>
      <c r="E942" s="670"/>
      <c r="F942" s="670"/>
      <c r="O942" s="672"/>
    </row>
    <row r="943" spans="1:15" ht="12.3">
      <c r="A943" s="23"/>
      <c r="E943" s="670"/>
      <c r="F943" s="670"/>
      <c r="O943" s="672"/>
    </row>
    <row r="944" spans="1:15" ht="12.3">
      <c r="A944" s="23"/>
      <c r="E944" s="670"/>
      <c r="F944" s="670"/>
      <c r="O944" s="672"/>
    </row>
    <row r="945" spans="1:15" ht="12.3">
      <c r="A945" s="23"/>
      <c r="E945" s="670"/>
      <c r="F945" s="670"/>
      <c r="O945" s="672"/>
    </row>
    <row r="946" spans="1:15" ht="12.3">
      <c r="A946" s="23"/>
      <c r="E946" s="670"/>
      <c r="F946" s="670"/>
      <c r="O946" s="672"/>
    </row>
    <row r="947" spans="1:15" ht="12.3">
      <c r="A947" s="23"/>
      <c r="E947" s="670"/>
      <c r="F947" s="670"/>
      <c r="O947" s="672"/>
    </row>
    <row r="948" spans="1:15" ht="12.3">
      <c r="A948" s="23"/>
      <c r="E948" s="670"/>
      <c r="F948" s="670"/>
      <c r="O948" s="672"/>
    </row>
    <row r="949" spans="1:15" ht="12.3">
      <c r="A949" s="23"/>
      <c r="E949" s="670"/>
      <c r="F949" s="670"/>
      <c r="O949" s="672"/>
    </row>
    <row r="950" spans="1:15" ht="12.3">
      <c r="A950" s="23"/>
      <c r="E950" s="670"/>
      <c r="F950" s="670"/>
      <c r="O950" s="672"/>
    </row>
    <row r="951" spans="1:15" ht="12.3">
      <c r="A951" s="23"/>
      <c r="E951" s="670"/>
      <c r="F951" s="670"/>
      <c r="O951" s="672"/>
    </row>
    <row r="952" spans="1:15" ht="12.3">
      <c r="A952" s="23"/>
      <c r="E952" s="670"/>
      <c r="F952" s="670"/>
      <c r="O952" s="672"/>
    </row>
    <row r="953" spans="1:15" ht="12.3">
      <c r="A953" s="23"/>
      <c r="E953" s="670"/>
      <c r="F953" s="670"/>
      <c r="O953" s="672"/>
    </row>
    <row r="954" spans="1:15" ht="12.3">
      <c r="A954" s="23"/>
      <c r="E954" s="670"/>
      <c r="F954" s="670"/>
      <c r="O954" s="672"/>
    </row>
    <row r="955" spans="1:15" ht="12.3">
      <c r="A955" s="23"/>
      <c r="E955" s="670"/>
      <c r="F955" s="670"/>
      <c r="O955" s="672"/>
    </row>
    <row r="956" spans="1:15" ht="12.3">
      <c r="A956" s="23"/>
      <c r="E956" s="670"/>
      <c r="F956" s="670"/>
      <c r="O956" s="672"/>
    </row>
    <row r="957" spans="1:15" ht="12.3">
      <c r="A957" s="23"/>
      <c r="E957" s="670"/>
      <c r="F957" s="670"/>
      <c r="O957" s="672"/>
    </row>
    <row r="958" spans="1:15" ht="12.3">
      <c r="A958" s="23"/>
      <c r="E958" s="670"/>
      <c r="F958" s="670"/>
      <c r="O958" s="672"/>
    </row>
    <row r="959" spans="1:15" ht="12.3">
      <c r="A959" s="23"/>
      <c r="E959" s="670"/>
      <c r="F959" s="670"/>
      <c r="O959" s="672"/>
    </row>
    <row r="960" spans="1:15" ht="12.3">
      <c r="A960" s="23"/>
      <c r="E960" s="670"/>
      <c r="F960" s="670"/>
      <c r="O960" s="672"/>
    </row>
    <row r="961" spans="1:15" ht="12.3">
      <c r="A961" s="23"/>
      <c r="E961" s="670"/>
      <c r="F961" s="670"/>
      <c r="O961" s="672"/>
    </row>
    <row r="962" spans="1:15" ht="12.3">
      <c r="A962" s="23"/>
      <c r="E962" s="670"/>
      <c r="F962" s="670"/>
      <c r="O962" s="672"/>
    </row>
    <row r="963" spans="1:15" ht="12.3">
      <c r="A963" s="23"/>
      <c r="E963" s="670"/>
      <c r="F963" s="670"/>
      <c r="O963" s="672"/>
    </row>
    <row r="964" spans="1:15" ht="12.3">
      <c r="A964" s="23"/>
      <c r="E964" s="670"/>
      <c r="F964" s="670"/>
      <c r="O964" s="672"/>
    </row>
    <row r="965" spans="1:15" ht="12.3">
      <c r="A965" s="23"/>
      <c r="E965" s="670"/>
      <c r="F965" s="670"/>
      <c r="O965" s="672"/>
    </row>
    <row r="966" spans="1:15" ht="12.3">
      <c r="A966" s="23"/>
      <c r="E966" s="670"/>
      <c r="F966" s="670"/>
      <c r="O966" s="672"/>
    </row>
    <row r="967" spans="1:15" ht="12.3">
      <c r="A967" s="23"/>
      <c r="E967" s="670"/>
      <c r="F967" s="670"/>
      <c r="O967" s="672"/>
    </row>
    <row r="968" spans="1:15" ht="12.3">
      <c r="A968" s="23"/>
      <c r="E968" s="670"/>
      <c r="F968" s="670"/>
      <c r="O968" s="672"/>
    </row>
    <row r="969" spans="1:15" ht="12.3">
      <c r="A969" s="23"/>
      <c r="E969" s="670"/>
      <c r="F969" s="670"/>
      <c r="O969" s="672"/>
    </row>
    <row r="970" spans="1:15" ht="12.3">
      <c r="A970" s="23"/>
      <c r="E970" s="670"/>
      <c r="F970" s="670"/>
      <c r="O970" s="672"/>
    </row>
    <row r="971" spans="1:15" ht="12.3">
      <c r="A971" s="23"/>
      <c r="E971" s="670"/>
      <c r="F971" s="670"/>
      <c r="O971" s="672"/>
    </row>
    <row r="972" spans="1:15" ht="12.3">
      <c r="A972" s="23"/>
      <c r="E972" s="670"/>
      <c r="F972" s="670"/>
      <c r="O972" s="672"/>
    </row>
    <row r="973" spans="1:15" ht="12.3">
      <c r="A973" s="23"/>
      <c r="E973" s="670"/>
      <c r="F973" s="670"/>
      <c r="O973" s="672"/>
    </row>
    <row r="974" spans="1:15" ht="12.3">
      <c r="A974" s="23"/>
      <c r="E974" s="670"/>
      <c r="F974" s="670"/>
      <c r="O974" s="672"/>
    </row>
    <row r="975" spans="1:15" ht="12.3">
      <c r="A975" s="23"/>
      <c r="E975" s="670"/>
      <c r="F975" s="670"/>
      <c r="O975" s="672"/>
    </row>
    <row r="976" spans="1:15" ht="12.3">
      <c r="A976" s="23"/>
      <c r="E976" s="670"/>
      <c r="F976" s="670"/>
      <c r="O976" s="672"/>
    </row>
    <row r="977" spans="1:15" ht="12.3">
      <c r="A977" s="23"/>
      <c r="E977" s="670"/>
      <c r="F977" s="670"/>
      <c r="O977" s="672"/>
    </row>
    <row r="978" spans="1:15" ht="12.3">
      <c r="A978" s="23"/>
      <c r="E978" s="670"/>
      <c r="F978" s="670"/>
      <c r="O978" s="672"/>
    </row>
    <row r="979" spans="1:15" ht="12.3">
      <c r="A979" s="23"/>
      <c r="E979" s="670"/>
      <c r="F979" s="670"/>
      <c r="O979" s="672"/>
    </row>
    <row r="980" spans="1:15" ht="12.3">
      <c r="A980" s="23"/>
      <c r="E980" s="670"/>
      <c r="F980" s="670"/>
      <c r="O980" s="672"/>
    </row>
    <row r="981" spans="1:15" ht="12.3">
      <c r="A981" s="23"/>
      <c r="E981" s="670"/>
      <c r="F981" s="670"/>
      <c r="O981" s="672"/>
    </row>
    <row r="982" spans="1:15" ht="12.3">
      <c r="A982" s="23"/>
      <c r="E982" s="670"/>
      <c r="F982" s="670"/>
      <c r="O982" s="672"/>
    </row>
    <row r="983" spans="1:15" ht="12.3">
      <c r="A983" s="23"/>
      <c r="E983" s="670"/>
      <c r="F983" s="670"/>
      <c r="O983" s="672"/>
    </row>
    <row r="984" spans="1:15" ht="12.3">
      <c r="A984" s="23"/>
      <c r="E984" s="670"/>
      <c r="F984" s="670"/>
      <c r="O984" s="672"/>
    </row>
    <row r="985" spans="1:15" ht="12.3">
      <c r="A985" s="23"/>
      <c r="E985" s="670"/>
      <c r="F985" s="670"/>
      <c r="O985" s="672"/>
    </row>
    <row r="986" spans="1:15" ht="12.3">
      <c r="A986" s="23"/>
      <c r="E986" s="670"/>
      <c r="F986" s="670"/>
      <c r="O986" s="672"/>
    </row>
  </sheetData>
  <sheetProtection algorithmName="SHA-512" hashValue="sfwPNxDT13FzPAZjE2neBD8wy2MWGAqI8a3HsXo/rfIoMojtvljvhjSVhkBSUE6oXrXqHAWdOeceYC44GXZWgQ==" saltValue="nj3mBVaThMTDMgdyD0ODqA==" spinCount="100000" sheet="1" objects="1" scenarios="1"/>
  <mergeCells count="8">
    <mergeCell ref="B4:D12"/>
    <mergeCell ref="T51:AE51"/>
    <mergeCell ref="T15:AE15"/>
    <mergeCell ref="T28:AE28"/>
    <mergeCell ref="AM2:AQ2"/>
    <mergeCell ref="AJ2:AL2"/>
    <mergeCell ref="T41:AE41"/>
    <mergeCell ref="AH2:AI2"/>
  </mergeCells>
  <conditionalFormatting sqref="T17:AE17">
    <cfRule type="cellIs" dxfId="6" priority="4" operator="equal">
      <formula>1</formula>
    </cfRule>
  </conditionalFormatting>
  <conditionalFormatting sqref="T17:AE25">
    <cfRule type="containsText" dxfId="5" priority="5" operator="containsText" text="1">
      <formula>NOT(ISERROR(SEARCH(("1"),(T17))))</formula>
    </cfRule>
  </conditionalFormatting>
  <conditionalFormatting sqref="T55:AE57">
    <cfRule type="containsText" dxfId="4" priority="8" operator="containsText" text="1">
      <formula>NOT(ISERROR(SEARCH(("1"),(T55))))</formula>
    </cfRule>
  </conditionalFormatting>
  <conditionalFormatting sqref="T30:AE38">
    <cfRule type="containsText" dxfId="3" priority="3" operator="containsText" text="1">
      <formula>NOT(ISERROR(SEARCH(("1"),(T30))))</formula>
    </cfRule>
  </conditionalFormatting>
  <conditionalFormatting sqref="T43:AE48">
    <cfRule type="containsText" dxfId="2" priority="2" operator="containsText" text="1">
      <formula>NOT(ISERROR(SEARCH(("1"),(T43))))</formula>
    </cfRule>
  </conditionalFormatting>
  <conditionalFormatting sqref="T53:AE54">
    <cfRule type="containsText" dxfId="1" priority="1" operator="containsText" text="1">
      <formula>NOT(ISERROR(SEARCH(("1"),(T53))))</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9" tint="-0.249977111117893"/>
    <outlinePr summaryBelow="0" summaryRight="0"/>
  </sheetPr>
  <dimension ref="A1:AC991"/>
  <sheetViews>
    <sheetView showGridLines="0" topLeftCell="A4" workbookViewId="0">
      <selection activeCell="L12" sqref="L12"/>
    </sheetView>
  </sheetViews>
  <sheetFormatPr defaultColWidth="17.27734375" defaultRowHeight="15" customHeight="1"/>
  <cols>
    <col min="1" max="1" width="8" customWidth="1"/>
    <col min="2" max="2" width="18.27734375" style="279" customWidth="1"/>
    <col min="3" max="3" width="9.83203125" style="279" customWidth="1"/>
    <col min="4" max="4" width="12.109375" style="279" customWidth="1"/>
    <col min="5" max="5" width="11.44140625" style="279" customWidth="1"/>
    <col min="6" max="7" width="12" style="279" customWidth="1"/>
    <col min="8" max="8" width="12.109375" style="279" customWidth="1"/>
    <col min="9" max="9" width="11.109375" style="279" customWidth="1"/>
    <col min="10" max="10" width="13.5546875" style="279" customWidth="1"/>
    <col min="11" max="14" width="11.109375" style="279" customWidth="1"/>
    <col min="15" max="15" width="15.109375" style="1108" customWidth="1"/>
    <col min="16" max="16" width="11.27734375" style="276" hidden="1" customWidth="1"/>
    <col min="17" max="17" width="13.27734375" style="276" hidden="1" customWidth="1"/>
    <col min="18" max="18" width="16.44140625" style="276" hidden="1" customWidth="1"/>
    <col min="19" max="19" width="11.27734375" style="276" hidden="1" customWidth="1"/>
    <col min="20" max="20" width="13.5546875" style="276" customWidth="1"/>
    <col min="21" max="21" width="11.5546875" style="203" customWidth="1"/>
    <col min="22" max="23" width="11.27734375" customWidth="1"/>
    <col min="24" max="25" width="10.27734375" customWidth="1"/>
    <col min="26" max="26" width="10.83203125" customWidth="1"/>
    <col min="27" max="27" width="9.71875" customWidth="1"/>
    <col min="28" max="28" width="10.27734375" customWidth="1"/>
    <col min="29" max="29" width="8" customWidth="1"/>
  </cols>
  <sheetData>
    <row r="1" spans="1:29" ht="21" customHeight="1">
      <c r="A1" s="23"/>
      <c r="B1" s="708" t="s">
        <v>572</v>
      </c>
      <c r="C1" s="299"/>
      <c r="D1" s="278"/>
      <c r="E1" s="368"/>
      <c r="F1" s="709"/>
      <c r="G1" s="709"/>
      <c r="H1" s="278"/>
      <c r="I1" s="278"/>
      <c r="J1" s="710"/>
      <c r="K1" s="278"/>
      <c r="L1" s="278"/>
      <c r="M1" s="278"/>
      <c r="N1" s="278"/>
      <c r="O1" s="278"/>
      <c r="P1" s="222"/>
      <c r="Q1" s="222"/>
      <c r="R1" s="222"/>
      <c r="S1" s="222"/>
      <c r="T1" s="222"/>
      <c r="U1" s="222"/>
      <c r="V1" s="12"/>
      <c r="W1" s="12"/>
      <c r="X1" s="12"/>
      <c r="Y1" s="12"/>
      <c r="Z1" s="12"/>
      <c r="AA1" s="12"/>
      <c r="AB1" s="12"/>
      <c r="AC1" s="23"/>
    </row>
    <row r="2" spans="1:29" ht="12.75" customHeight="1" thickBot="1">
      <c r="A2" s="23"/>
      <c r="B2" s="280"/>
      <c r="C2" s="278"/>
      <c r="D2" s="299"/>
      <c r="E2" s="299"/>
      <c r="F2" s="299"/>
      <c r="G2" s="299"/>
      <c r="H2" s="299"/>
      <c r="I2" s="711"/>
      <c r="J2" s="290"/>
      <c r="K2" s="283"/>
      <c r="L2" s="283"/>
      <c r="M2" s="283"/>
      <c r="N2" s="283"/>
      <c r="O2" s="283"/>
      <c r="P2" s="226"/>
      <c r="Q2" s="226"/>
      <c r="R2" s="226"/>
      <c r="S2" s="226"/>
      <c r="T2" s="222"/>
      <c r="U2" s="222"/>
      <c r="V2" s="12"/>
      <c r="W2" s="12"/>
      <c r="X2" s="12"/>
      <c r="Y2" s="12"/>
      <c r="Z2" s="12"/>
      <c r="AA2" s="12"/>
      <c r="AB2" s="12"/>
      <c r="AC2" s="12"/>
    </row>
    <row r="3" spans="1:29" ht="12.75" customHeight="1">
      <c r="A3" s="23"/>
      <c r="B3" s="712" t="s">
        <v>573</v>
      </c>
      <c r="C3" s="713" t="s">
        <v>574</v>
      </c>
      <c r="D3" s="714" t="s">
        <v>31</v>
      </c>
      <c r="E3" s="714" t="s">
        <v>21</v>
      </c>
      <c r="F3" s="714" t="s">
        <v>32</v>
      </c>
      <c r="G3" s="715" t="s">
        <v>33</v>
      </c>
      <c r="H3" s="278"/>
      <c r="I3" s="1497" t="s">
        <v>902</v>
      </c>
      <c r="J3" s="1497"/>
      <c r="K3" s="1497"/>
      <c r="L3" s="1497"/>
      <c r="M3" s="1497"/>
      <c r="N3" s="1497"/>
      <c r="O3" s="1497"/>
      <c r="P3" s="254"/>
      <c r="Q3" s="254"/>
      <c r="R3" s="254"/>
      <c r="S3" s="254"/>
      <c r="T3" s="222"/>
      <c r="U3" s="222"/>
      <c r="V3" s="12"/>
      <c r="W3" s="12"/>
      <c r="X3" s="12"/>
      <c r="Y3" s="12"/>
      <c r="Z3" s="12"/>
      <c r="AA3" s="56"/>
      <c r="AB3" s="54"/>
      <c r="AC3" s="56"/>
    </row>
    <row r="4" spans="1:29" ht="12.75" customHeight="1">
      <c r="A4" s="23"/>
      <c r="B4" s="716" t="s">
        <v>478</v>
      </c>
      <c r="C4" s="717"/>
      <c r="D4" s="634">
        <f>SUM(C13:N13)</f>
        <v>5187.0000000000018</v>
      </c>
      <c r="E4" s="634">
        <f>SUM(C22:N22)</f>
        <v>15561.000000000002</v>
      </c>
      <c r="F4" s="634">
        <f>E4*(1+C4)</f>
        <v>15561.000000000002</v>
      </c>
      <c r="G4" s="718">
        <f>F4*(1+C4)</f>
        <v>15561.000000000002</v>
      </c>
      <c r="H4" s="278"/>
      <c r="I4" s="1497"/>
      <c r="J4" s="1497"/>
      <c r="K4" s="1497"/>
      <c r="L4" s="1497"/>
      <c r="M4" s="1497"/>
      <c r="N4" s="1497"/>
      <c r="O4" s="1497"/>
      <c r="P4" s="254"/>
      <c r="Q4" s="254"/>
      <c r="R4" s="254"/>
      <c r="S4" s="254"/>
      <c r="T4" s="222"/>
      <c r="U4" s="222"/>
      <c r="V4" s="12"/>
      <c r="W4" s="12"/>
      <c r="X4" s="57"/>
      <c r="Y4" s="58"/>
      <c r="Z4" s="58"/>
      <c r="AA4" s="53"/>
      <c r="AB4" s="53"/>
      <c r="AC4" s="53"/>
    </row>
    <row r="5" spans="1:29" ht="12.75" customHeight="1">
      <c r="A5" s="23"/>
      <c r="B5" s="716" t="s">
        <v>533</v>
      </c>
      <c r="C5" s="717"/>
      <c r="D5" s="634">
        <f>SUM(C15:N15)</f>
        <v>0</v>
      </c>
      <c r="E5" s="634">
        <f>SUM(C24:N24)</f>
        <v>0</v>
      </c>
      <c r="F5" s="634">
        <f>E5*(1+C5)</f>
        <v>0</v>
      </c>
      <c r="G5" s="718">
        <f>F5*(1+C5)</f>
        <v>0</v>
      </c>
      <c r="H5" s="278"/>
      <c r="I5" s="1497"/>
      <c r="J5" s="1497"/>
      <c r="K5" s="1497"/>
      <c r="L5" s="1497"/>
      <c r="M5" s="1497"/>
      <c r="N5" s="1497"/>
      <c r="O5" s="1497"/>
      <c r="P5" s="254"/>
      <c r="Q5" s="254"/>
      <c r="R5" s="254"/>
      <c r="S5" s="254"/>
      <c r="T5" s="222"/>
      <c r="U5" s="222"/>
      <c r="V5" s="12"/>
      <c r="W5" s="12"/>
      <c r="X5" s="57"/>
      <c r="Y5" s="58"/>
      <c r="Z5" s="58"/>
      <c r="AA5" s="53"/>
      <c r="AB5" s="53"/>
      <c r="AC5" s="53"/>
    </row>
    <row r="6" spans="1:29" ht="12.75" customHeight="1">
      <c r="A6" s="23"/>
      <c r="B6" s="716" t="s">
        <v>560</v>
      </c>
      <c r="C6" s="717"/>
      <c r="D6" s="634">
        <f>SUM(C17:N17)</f>
        <v>0</v>
      </c>
      <c r="E6" s="634">
        <f>SUM(C26:N26)</f>
        <v>0</v>
      </c>
      <c r="F6" s="634">
        <f>E6*(1+C6)</f>
        <v>0</v>
      </c>
      <c r="G6" s="718">
        <f>F6*(1+C6)</f>
        <v>0</v>
      </c>
      <c r="H6" s="278"/>
      <c r="I6" s="1497"/>
      <c r="J6" s="1497"/>
      <c r="K6" s="1497"/>
      <c r="L6" s="1497"/>
      <c r="M6" s="1497"/>
      <c r="N6" s="1497"/>
      <c r="O6" s="1497"/>
      <c r="P6" s="254"/>
      <c r="Q6" s="254"/>
      <c r="R6" s="254"/>
      <c r="S6" s="254"/>
      <c r="T6" s="222"/>
      <c r="U6" s="222"/>
      <c r="V6" s="12"/>
      <c r="W6" s="12"/>
      <c r="X6" s="57"/>
      <c r="Y6" s="58"/>
      <c r="Z6" s="58"/>
      <c r="AA6" s="53"/>
      <c r="AB6" s="53"/>
      <c r="AC6" s="53"/>
    </row>
    <row r="7" spans="1:29" ht="12.75" customHeight="1">
      <c r="A7" s="23"/>
      <c r="B7" s="716" t="s">
        <v>485</v>
      </c>
      <c r="C7" s="717"/>
      <c r="D7" s="634">
        <f>SUM(C31:N31)</f>
        <v>0</v>
      </c>
      <c r="E7" s="634">
        <f>SUM(C33:N33)</f>
        <v>0</v>
      </c>
      <c r="F7" s="634">
        <f>E7*(1+C7)</f>
        <v>0</v>
      </c>
      <c r="G7" s="718">
        <f>F7*(1+C7)</f>
        <v>0</v>
      </c>
      <c r="H7" s="278"/>
      <c r="I7" s="1497"/>
      <c r="J7" s="1497"/>
      <c r="K7" s="1497"/>
      <c r="L7" s="1497"/>
      <c r="M7" s="1497"/>
      <c r="N7" s="1497"/>
      <c r="O7" s="1497"/>
      <c r="P7" s="255"/>
      <c r="Q7" s="255"/>
      <c r="R7" s="255"/>
      <c r="S7" s="255"/>
      <c r="T7" s="222"/>
      <c r="U7" s="222"/>
      <c r="V7" s="12"/>
      <c r="W7" s="12"/>
      <c r="X7" s="59"/>
      <c r="Y7" s="12"/>
      <c r="Z7" s="12"/>
      <c r="AA7" s="53"/>
      <c r="AB7" s="53"/>
      <c r="AC7" s="53"/>
    </row>
    <row r="8" spans="1:29" ht="21" customHeight="1" thickBot="1">
      <c r="A8" s="23"/>
      <c r="B8" s="719" t="s">
        <v>443</v>
      </c>
      <c r="C8" s="720"/>
      <c r="D8" s="721">
        <f>SUM(D4:D7)</f>
        <v>5187.0000000000018</v>
      </c>
      <c r="E8" s="721">
        <f>SUM(E4:E7)</f>
        <v>15561.000000000002</v>
      </c>
      <c r="F8" s="721">
        <f>SUM(F4:F7)</f>
        <v>15561.000000000002</v>
      </c>
      <c r="G8" s="722">
        <f>SUM(G4:G7)</f>
        <v>15561.000000000002</v>
      </c>
      <c r="H8" s="278"/>
      <c r="I8" s="1497"/>
      <c r="J8" s="1497"/>
      <c r="K8" s="1497"/>
      <c r="L8" s="1497"/>
      <c r="M8" s="1497"/>
      <c r="N8" s="1497"/>
      <c r="O8" s="1497"/>
      <c r="P8" s="254"/>
      <c r="Q8" s="254"/>
      <c r="R8" s="254"/>
      <c r="S8" s="254"/>
      <c r="T8" s="222"/>
      <c r="U8" s="222"/>
      <c r="V8" s="12"/>
      <c r="W8" s="12"/>
      <c r="X8" s="59"/>
      <c r="Y8" s="12"/>
      <c r="Z8" s="12"/>
      <c r="AA8" s="53"/>
      <c r="AB8" s="53"/>
      <c r="AC8" s="53"/>
    </row>
    <row r="9" spans="1:29" ht="23.25" customHeight="1" thickBot="1">
      <c r="A9" s="23"/>
      <c r="H9" s="278"/>
      <c r="I9" s="1497"/>
      <c r="J9" s="1497"/>
      <c r="K9" s="1497"/>
      <c r="L9" s="1497"/>
      <c r="M9" s="1497"/>
      <c r="N9" s="1497"/>
      <c r="O9" s="1497"/>
      <c r="P9" s="255"/>
      <c r="Q9" s="255"/>
      <c r="R9" s="255"/>
      <c r="S9" s="255"/>
      <c r="T9" s="222"/>
      <c r="U9" s="222"/>
      <c r="V9" s="12"/>
      <c r="W9" s="12"/>
      <c r="X9" s="24"/>
      <c r="Y9" s="58"/>
      <c r="Z9" s="58"/>
      <c r="AA9" s="58"/>
      <c r="AB9" s="53"/>
      <c r="AC9" s="12"/>
    </row>
    <row r="10" spans="1:29" ht="12.75" customHeight="1">
      <c r="A10" s="23"/>
      <c r="B10" s="723" t="s">
        <v>575</v>
      </c>
      <c r="C10" s="724"/>
      <c r="D10" s="725"/>
      <c r="E10" s="726"/>
      <c r="F10" s="727"/>
      <c r="G10" s="728"/>
      <c r="H10" s="725"/>
      <c r="I10" s="725"/>
      <c r="J10" s="725"/>
      <c r="K10" s="725"/>
      <c r="L10" s="725"/>
      <c r="M10" s="725"/>
      <c r="N10" s="729"/>
      <c r="O10" s="278"/>
      <c r="P10" s="222"/>
      <c r="Q10" s="222"/>
      <c r="R10" s="222"/>
      <c r="S10" s="222"/>
      <c r="T10" s="222"/>
      <c r="U10" s="253"/>
      <c r="V10" s="12"/>
      <c r="W10" s="53"/>
      <c r="X10" s="12"/>
      <c r="Y10" s="12"/>
      <c r="Z10" s="12"/>
      <c r="AA10" s="12"/>
      <c r="AB10" s="53"/>
      <c r="AC10" s="12"/>
    </row>
    <row r="11" spans="1:29" ht="12.75" customHeight="1">
      <c r="A11" s="23"/>
      <c r="B11" s="730" t="s">
        <v>576</v>
      </c>
      <c r="C11" s="1301">
        <f>'Plant &amp; Fish Production'!J2</f>
        <v>6</v>
      </c>
      <c r="D11" s="731">
        <f t="shared" ref="D11:N11" si="0">IF(C11&lt;12, C11+1, 1)</f>
        <v>7</v>
      </c>
      <c r="E11" s="731">
        <f t="shared" si="0"/>
        <v>8</v>
      </c>
      <c r="F11" s="731">
        <f t="shared" si="0"/>
        <v>9</v>
      </c>
      <c r="G11" s="731">
        <f t="shared" si="0"/>
        <v>10</v>
      </c>
      <c r="H11" s="731">
        <f t="shared" si="0"/>
        <v>11</v>
      </c>
      <c r="I11" s="731">
        <f t="shared" si="0"/>
        <v>12</v>
      </c>
      <c r="J11" s="731">
        <f t="shared" si="0"/>
        <v>1</v>
      </c>
      <c r="K11" s="731">
        <f t="shared" si="0"/>
        <v>2</v>
      </c>
      <c r="L11" s="731">
        <f t="shared" si="0"/>
        <v>3</v>
      </c>
      <c r="M11" s="731">
        <f t="shared" si="0"/>
        <v>4</v>
      </c>
      <c r="N11" s="732">
        <f t="shared" si="0"/>
        <v>5</v>
      </c>
      <c r="T11" s="254"/>
      <c r="U11" s="254"/>
      <c r="V11" s="55"/>
      <c r="W11" s="55"/>
      <c r="X11" s="55"/>
      <c r="Y11" s="55"/>
      <c r="Z11" s="55"/>
      <c r="AA11" s="55"/>
      <c r="AB11" s="12"/>
      <c r="AC11" s="23"/>
    </row>
    <row r="12" spans="1:29" ht="12.75" customHeight="1">
      <c r="A12" s="54"/>
      <c r="B12" s="733" t="s">
        <v>577</v>
      </c>
      <c r="C12" s="1491" t="s">
        <v>578</v>
      </c>
      <c r="D12" s="1492"/>
      <c r="E12" s="734">
        <v>0.1</v>
      </c>
      <c r="F12" s="734">
        <v>0.2</v>
      </c>
      <c r="G12" s="734">
        <v>0.3</v>
      </c>
      <c r="H12" s="734">
        <v>0.4</v>
      </c>
      <c r="I12" s="734">
        <v>0.5</v>
      </c>
      <c r="J12" s="734">
        <v>0.5</v>
      </c>
      <c r="K12" s="734">
        <v>0.6</v>
      </c>
      <c r="L12" s="734">
        <v>0.7</v>
      </c>
      <c r="M12" s="734">
        <v>0.8</v>
      </c>
      <c r="N12" s="735">
        <v>0.9</v>
      </c>
      <c r="T12" s="256"/>
      <c r="U12" s="256"/>
      <c r="V12" s="60"/>
      <c r="W12" s="60"/>
      <c r="X12" s="60"/>
      <c r="Y12" s="60"/>
      <c r="Z12" s="60"/>
      <c r="AA12" s="60"/>
      <c r="AB12" s="54"/>
      <c r="AC12" s="54"/>
    </row>
    <row r="13" spans="1:29" ht="12.75" customHeight="1">
      <c r="A13" s="23"/>
      <c r="B13" s="736" t="s">
        <v>579</v>
      </c>
      <c r="C13" s="1493"/>
      <c r="D13" s="1494"/>
      <c r="E13" s="737">
        <f t="shared" ref="E13:N13" si="1">LOOKUP(E11, $P$15:$P$26, $Q$15:$Q$26)*E12</f>
        <v>259.35000000000008</v>
      </c>
      <c r="F13" s="737">
        <f t="shared" si="1"/>
        <v>518.70000000000016</v>
      </c>
      <c r="G13" s="737">
        <f t="shared" si="1"/>
        <v>0</v>
      </c>
      <c r="H13" s="737">
        <f t="shared" si="1"/>
        <v>0</v>
      </c>
      <c r="I13" s="737">
        <f t="shared" si="1"/>
        <v>0</v>
      </c>
      <c r="J13" s="737">
        <f t="shared" si="1"/>
        <v>0</v>
      </c>
      <c r="K13" s="737">
        <f t="shared" si="1"/>
        <v>0</v>
      </c>
      <c r="L13" s="737">
        <f t="shared" si="1"/>
        <v>0</v>
      </c>
      <c r="M13" s="737">
        <f t="shared" si="1"/>
        <v>2074.8000000000006</v>
      </c>
      <c r="N13" s="738">
        <f t="shared" si="1"/>
        <v>2334.1500000000005</v>
      </c>
      <c r="P13" s="222" t="s">
        <v>580</v>
      </c>
      <c r="T13" s="257"/>
      <c r="U13" s="257"/>
      <c r="V13" s="61"/>
      <c r="W13" s="61"/>
      <c r="X13" s="61"/>
      <c r="Y13" s="61"/>
      <c r="Z13" s="61"/>
      <c r="AA13" s="61"/>
      <c r="AB13" s="12"/>
      <c r="AC13" s="23"/>
    </row>
    <row r="14" spans="1:29" ht="12.75" customHeight="1">
      <c r="A14" s="23"/>
      <c r="B14" s="733" t="s">
        <v>577</v>
      </c>
      <c r="C14" s="1493"/>
      <c r="D14" s="1494"/>
      <c r="E14" s="734">
        <v>0.3</v>
      </c>
      <c r="F14" s="734">
        <v>0.3</v>
      </c>
      <c r="G14" s="734">
        <v>0.4</v>
      </c>
      <c r="H14" s="734">
        <v>0.4</v>
      </c>
      <c r="I14" s="734">
        <v>0.5</v>
      </c>
      <c r="J14" s="734">
        <v>0.5</v>
      </c>
      <c r="K14" s="734">
        <v>0.6</v>
      </c>
      <c r="L14" s="734">
        <v>0.6</v>
      </c>
      <c r="M14" s="734">
        <v>0.7</v>
      </c>
      <c r="N14" s="735">
        <v>0.7</v>
      </c>
      <c r="P14" s="258" t="s">
        <v>581</v>
      </c>
      <c r="Q14" s="259" t="s">
        <v>478</v>
      </c>
      <c r="R14" s="259" t="s">
        <v>533</v>
      </c>
      <c r="S14" s="260" t="s">
        <v>560</v>
      </c>
      <c r="T14" s="257"/>
      <c r="U14" s="257"/>
      <c r="V14" s="61"/>
      <c r="W14" s="61"/>
      <c r="X14" s="61"/>
      <c r="Y14" s="61"/>
      <c r="Z14" s="61"/>
      <c r="AA14" s="61"/>
      <c r="AB14" s="12"/>
      <c r="AC14" s="23"/>
    </row>
    <row r="15" spans="1:29" ht="12.75" customHeight="1">
      <c r="A15" s="23"/>
      <c r="B15" s="736" t="s">
        <v>582</v>
      </c>
      <c r="C15" s="1493"/>
      <c r="D15" s="1494"/>
      <c r="E15" s="737">
        <f t="shared" ref="E15:N15" si="2">LOOKUP(E11, $P$15:$P$26, $R$15:$R$26)*E14</f>
        <v>0</v>
      </c>
      <c r="F15" s="737">
        <f t="shared" si="2"/>
        <v>0</v>
      </c>
      <c r="G15" s="737">
        <f t="shared" si="2"/>
        <v>0</v>
      </c>
      <c r="H15" s="737">
        <f t="shared" si="2"/>
        <v>0</v>
      </c>
      <c r="I15" s="737">
        <f t="shared" si="2"/>
        <v>0</v>
      </c>
      <c r="J15" s="737">
        <f t="shared" si="2"/>
        <v>0</v>
      </c>
      <c r="K15" s="737">
        <f t="shared" si="2"/>
        <v>0</v>
      </c>
      <c r="L15" s="737">
        <f t="shared" si="2"/>
        <v>0</v>
      </c>
      <c r="M15" s="737">
        <f t="shared" si="2"/>
        <v>0</v>
      </c>
      <c r="N15" s="738">
        <f t="shared" si="2"/>
        <v>0</v>
      </c>
      <c r="P15" s="261">
        <v>1</v>
      </c>
      <c r="Q15" s="262">
        <f>'REV &amp; COGS'!S49</f>
        <v>0</v>
      </c>
      <c r="R15" s="262">
        <f>'REV &amp; COGS'!R87</f>
        <v>0</v>
      </c>
      <c r="S15" s="263">
        <f>'REV &amp; COGS'!M107</f>
        <v>0</v>
      </c>
      <c r="T15" s="257"/>
      <c r="U15" s="257"/>
      <c r="V15" s="61"/>
      <c r="W15" s="61"/>
      <c r="X15" s="61"/>
      <c r="Y15" s="61"/>
      <c r="Z15" s="61"/>
      <c r="AA15" s="61"/>
      <c r="AB15" s="12"/>
      <c r="AC15" s="23"/>
    </row>
    <row r="16" spans="1:29" ht="12.75" customHeight="1">
      <c r="A16" s="23"/>
      <c r="B16" s="733" t="s">
        <v>577</v>
      </c>
      <c r="C16" s="1493"/>
      <c r="D16" s="1494"/>
      <c r="E16" s="734">
        <v>0.3</v>
      </c>
      <c r="F16" s="734">
        <v>0.3</v>
      </c>
      <c r="G16" s="734">
        <v>0.4</v>
      </c>
      <c r="H16" s="734">
        <v>0.4</v>
      </c>
      <c r="I16" s="734">
        <v>0.5</v>
      </c>
      <c r="J16" s="734">
        <v>0.5</v>
      </c>
      <c r="K16" s="734">
        <v>0.6</v>
      </c>
      <c r="L16" s="734">
        <v>0.6</v>
      </c>
      <c r="M16" s="734">
        <v>0.7</v>
      </c>
      <c r="N16" s="735">
        <v>0.7</v>
      </c>
      <c r="P16" s="261">
        <v>2</v>
      </c>
      <c r="Q16" s="262">
        <f t="shared" ref="Q16:S17" si="3">Q15</f>
        <v>0</v>
      </c>
      <c r="R16" s="262">
        <f t="shared" si="3"/>
        <v>0</v>
      </c>
      <c r="S16" s="263">
        <f t="shared" si="3"/>
        <v>0</v>
      </c>
      <c r="T16" s="257"/>
      <c r="U16" s="257"/>
      <c r="V16" s="61"/>
      <c r="W16" s="61"/>
      <c r="X16" s="61"/>
      <c r="Y16" s="61"/>
      <c r="Z16" s="61"/>
      <c r="AA16" s="61"/>
      <c r="AB16" s="12"/>
      <c r="AC16" s="23"/>
    </row>
    <row r="17" spans="1:29" ht="12.75" customHeight="1">
      <c r="A17" s="23"/>
      <c r="B17" s="736" t="s">
        <v>583</v>
      </c>
      <c r="C17" s="1495"/>
      <c r="D17" s="1496"/>
      <c r="E17" s="737">
        <f t="shared" ref="E17:N17" si="4">LOOKUP(E11, $P$15:$P$26, $S$15:$S$26)*E16</f>
        <v>0</v>
      </c>
      <c r="F17" s="737">
        <f t="shared" si="4"/>
        <v>0</v>
      </c>
      <c r="G17" s="737">
        <f t="shared" si="4"/>
        <v>0</v>
      </c>
      <c r="H17" s="737">
        <f t="shared" si="4"/>
        <v>0</v>
      </c>
      <c r="I17" s="737">
        <f t="shared" si="4"/>
        <v>0</v>
      </c>
      <c r="J17" s="737">
        <f t="shared" si="4"/>
        <v>0</v>
      </c>
      <c r="K17" s="737">
        <f t="shared" si="4"/>
        <v>0</v>
      </c>
      <c r="L17" s="737">
        <f t="shared" si="4"/>
        <v>0</v>
      </c>
      <c r="M17" s="737">
        <f t="shared" si="4"/>
        <v>0</v>
      </c>
      <c r="N17" s="738">
        <f t="shared" si="4"/>
        <v>0</v>
      </c>
      <c r="P17" s="261">
        <v>3</v>
      </c>
      <c r="Q17" s="262">
        <f t="shared" si="3"/>
        <v>0</v>
      </c>
      <c r="R17" s="262">
        <f t="shared" si="3"/>
        <v>0</v>
      </c>
      <c r="S17" s="263">
        <f t="shared" si="3"/>
        <v>0</v>
      </c>
      <c r="T17" s="257"/>
      <c r="U17" s="257"/>
      <c r="V17" s="61"/>
      <c r="W17" s="61"/>
      <c r="X17" s="61"/>
      <c r="Y17" s="61"/>
      <c r="Z17" s="61"/>
      <c r="AA17" s="61"/>
      <c r="AB17" s="12"/>
      <c r="AC17" s="23"/>
    </row>
    <row r="18" spans="1:29" ht="12.75" customHeight="1">
      <c r="A18" s="23"/>
      <c r="B18" s="739" t="s">
        <v>443</v>
      </c>
      <c r="C18" s="740"/>
      <c r="D18" s="740"/>
      <c r="E18" s="740">
        <f t="shared" ref="E18:N18" si="5">E17+E15+E13</f>
        <v>259.35000000000008</v>
      </c>
      <c r="F18" s="740">
        <f t="shared" si="5"/>
        <v>518.70000000000016</v>
      </c>
      <c r="G18" s="740">
        <f t="shared" si="5"/>
        <v>0</v>
      </c>
      <c r="H18" s="740">
        <f t="shared" si="5"/>
        <v>0</v>
      </c>
      <c r="I18" s="740">
        <f t="shared" si="5"/>
        <v>0</v>
      </c>
      <c r="J18" s="740">
        <f t="shared" si="5"/>
        <v>0</v>
      </c>
      <c r="K18" s="740">
        <f t="shared" si="5"/>
        <v>0</v>
      </c>
      <c r="L18" s="740">
        <f t="shared" si="5"/>
        <v>0</v>
      </c>
      <c r="M18" s="740">
        <f t="shared" si="5"/>
        <v>2074.8000000000006</v>
      </c>
      <c r="N18" s="741">
        <f t="shared" si="5"/>
        <v>2334.1500000000005</v>
      </c>
      <c r="P18" s="261">
        <v>4</v>
      </c>
      <c r="Q18" s="262">
        <f>'REV &amp; COGS'!S31</f>
        <v>2593.5000000000005</v>
      </c>
      <c r="R18" s="262">
        <f>'REV &amp; COGS'!R69</f>
        <v>0</v>
      </c>
      <c r="S18" s="263">
        <f t="shared" ref="S18:S26" si="6">S17</f>
        <v>0</v>
      </c>
      <c r="T18" s="264"/>
      <c r="U18" s="264"/>
      <c r="V18" s="62"/>
      <c r="W18" s="62"/>
      <c r="X18" s="62"/>
      <c r="Y18" s="62"/>
      <c r="Z18" s="62"/>
      <c r="AA18" s="62"/>
      <c r="AB18" s="12"/>
      <c r="AC18" s="23"/>
    </row>
    <row r="19" spans="1:29" ht="12.75" customHeight="1">
      <c r="A19" s="23"/>
      <c r="B19" s="278"/>
      <c r="C19" s="284"/>
      <c r="D19" s="284"/>
      <c r="E19" s="284"/>
      <c r="F19" s="284"/>
      <c r="G19" s="284"/>
      <c r="H19" s="284"/>
      <c r="I19" s="284"/>
      <c r="J19" s="284"/>
      <c r="K19" s="284"/>
      <c r="L19" s="284"/>
      <c r="M19" s="284"/>
      <c r="N19" s="284"/>
      <c r="O19" s="742"/>
      <c r="P19" s="261">
        <v>5</v>
      </c>
      <c r="Q19" s="262">
        <f t="shared" ref="Q19:R23" si="7">Q18</f>
        <v>2593.5000000000005</v>
      </c>
      <c r="R19" s="262">
        <f t="shared" si="7"/>
        <v>0</v>
      </c>
      <c r="S19" s="263">
        <f t="shared" si="6"/>
        <v>0</v>
      </c>
      <c r="T19" s="265"/>
      <c r="U19" s="265"/>
      <c r="V19" s="63"/>
      <c r="W19" s="63"/>
      <c r="X19" s="63"/>
      <c r="Y19" s="63"/>
      <c r="Z19" s="63"/>
      <c r="AA19" s="63"/>
      <c r="AB19" s="12"/>
      <c r="AC19" s="23"/>
    </row>
    <row r="20" spans="1:29" ht="12.75" customHeight="1">
      <c r="A20" s="23"/>
      <c r="B20" s="743" t="s">
        <v>584</v>
      </c>
      <c r="C20" s="1302">
        <f>C11</f>
        <v>6</v>
      </c>
      <c r="D20" s="744">
        <f t="shared" ref="D20:N20" si="8">IF(C20&lt;12, C20+1, 1)</f>
        <v>7</v>
      </c>
      <c r="E20" s="744">
        <f t="shared" si="8"/>
        <v>8</v>
      </c>
      <c r="F20" s="744">
        <f t="shared" si="8"/>
        <v>9</v>
      </c>
      <c r="G20" s="744">
        <f t="shared" si="8"/>
        <v>10</v>
      </c>
      <c r="H20" s="744">
        <f t="shared" si="8"/>
        <v>11</v>
      </c>
      <c r="I20" s="744">
        <f t="shared" si="8"/>
        <v>12</v>
      </c>
      <c r="J20" s="744">
        <f t="shared" si="8"/>
        <v>1</v>
      </c>
      <c r="K20" s="744">
        <f t="shared" si="8"/>
        <v>2</v>
      </c>
      <c r="L20" s="744">
        <f t="shared" si="8"/>
        <v>3</v>
      </c>
      <c r="M20" s="744">
        <f t="shared" si="8"/>
        <v>4</v>
      </c>
      <c r="N20" s="745">
        <f t="shared" si="8"/>
        <v>5</v>
      </c>
      <c r="O20" s="746"/>
      <c r="P20" s="261">
        <v>6</v>
      </c>
      <c r="Q20" s="262">
        <f t="shared" si="7"/>
        <v>2593.5000000000005</v>
      </c>
      <c r="R20" s="262">
        <f t="shared" si="7"/>
        <v>0</v>
      </c>
      <c r="S20" s="263">
        <f t="shared" si="6"/>
        <v>0</v>
      </c>
      <c r="T20" s="257"/>
      <c r="U20" s="257"/>
      <c r="V20" s="61"/>
      <c r="W20" s="61"/>
      <c r="X20" s="61"/>
      <c r="Y20" s="61"/>
      <c r="Z20" s="61"/>
      <c r="AA20" s="61"/>
      <c r="AB20" s="12"/>
      <c r="AC20" s="23"/>
    </row>
    <row r="21" spans="1:29" ht="12.75" customHeight="1">
      <c r="A21" s="54"/>
      <c r="B21" s="733" t="s">
        <v>577</v>
      </c>
      <c r="C21" s="734">
        <v>1</v>
      </c>
      <c r="D21" s="734">
        <v>1</v>
      </c>
      <c r="E21" s="734">
        <v>1</v>
      </c>
      <c r="F21" s="734">
        <v>1</v>
      </c>
      <c r="G21" s="734">
        <v>1</v>
      </c>
      <c r="H21" s="734">
        <v>1</v>
      </c>
      <c r="I21" s="734">
        <v>1</v>
      </c>
      <c r="J21" s="734">
        <v>1</v>
      </c>
      <c r="K21" s="734">
        <v>1</v>
      </c>
      <c r="L21" s="734">
        <v>1</v>
      </c>
      <c r="M21" s="734">
        <v>1</v>
      </c>
      <c r="N21" s="735">
        <v>1</v>
      </c>
      <c r="O21" s="747"/>
      <c r="P21" s="261">
        <v>7</v>
      </c>
      <c r="Q21" s="262">
        <f t="shared" si="7"/>
        <v>2593.5000000000005</v>
      </c>
      <c r="R21" s="262">
        <f t="shared" si="7"/>
        <v>0</v>
      </c>
      <c r="S21" s="263">
        <f t="shared" si="6"/>
        <v>0</v>
      </c>
      <c r="T21" s="266"/>
      <c r="U21" s="266"/>
      <c r="V21" s="64"/>
      <c r="W21" s="64"/>
      <c r="X21" s="64"/>
      <c r="Y21" s="64"/>
      <c r="Z21" s="64"/>
      <c r="AA21" s="64"/>
      <c r="AB21" s="54"/>
      <c r="AC21" s="54"/>
    </row>
    <row r="22" spans="1:29" ht="12.75" customHeight="1">
      <c r="A22" s="23"/>
      <c r="B22" s="736" t="s">
        <v>579</v>
      </c>
      <c r="C22" s="737">
        <f>IFERROR(LOOKUP(C20,$P$15:$P$26,$Q$15:$Q$26)*C21,0)</f>
        <v>2593.5000000000005</v>
      </c>
      <c r="D22" s="737">
        <f t="shared" ref="D22:N22" si="9">LOOKUP(D20, $P$15:$P$26, $Q$15:$Q$26)*D21</f>
        <v>2593.5000000000005</v>
      </c>
      <c r="E22" s="737">
        <f t="shared" si="9"/>
        <v>2593.5000000000005</v>
      </c>
      <c r="F22" s="737">
        <f t="shared" si="9"/>
        <v>2593.5000000000005</v>
      </c>
      <c r="G22" s="737">
        <f t="shared" si="9"/>
        <v>0</v>
      </c>
      <c r="H22" s="737">
        <f t="shared" si="9"/>
        <v>0</v>
      </c>
      <c r="I22" s="737">
        <f t="shared" si="9"/>
        <v>0</v>
      </c>
      <c r="J22" s="737">
        <f t="shared" si="9"/>
        <v>0</v>
      </c>
      <c r="K22" s="737">
        <f t="shared" si="9"/>
        <v>0</v>
      </c>
      <c r="L22" s="737">
        <f t="shared" si="9"/>
        <v>0</v>
      </c>
      <c r="M22" s="737">
        <f t="shared" si="9"/>
        <v>2593.5000000000005</v>
      </c>
      <c r="N22" s="738">
        <f t="shared" si="9"/>
        <v>2593.5000000000005</v>
      </c>
      <c r="O22" s="748"/>
      <c r="P22" s="261">
        <v>8</v>
      </c>
      <c r="Q22" s="262">
        <f t="shared" si="7"/>
        <v>2593.5000000000005</v>
      </c>
      <c r="R22" s="262">
        <f t="shared" si="7"/>
        <v>0</v>
      </c>
      <c r="S22" s="263">
        <f t="shared" si="6"/>
        <v>0</v>
      </c>
      <c r="T22" s="257"/>
      <c r="U22" s="257"/>
      <c r="V22" s="61"/>
      <c r="W22" s="61"/>
      <c r="X22" s="61"/>
      <c r="Y22" s="61"/>
      <c r="Z22" s="61"/>
      <c r="AA22" s="61"/>
      <c r="AB22" s="12"/>
      <c r="AC22" s="23"/>
    </row>
    <row r="23" spans="1:29" ht="12.75" customHeight="1">
      <c r="A23" s="23"/>
      <c r="B23" s="733" t="s">
        <v>577</v>
      </c>
      <c r="C23" s="734">
        <v>1</v>
      </c>
      <c r="D23" s="734">
        <v>1</v>
      </c>
      <c r="E23" s="734">
        <v>1</v>
      </c>
      <c r="F23" s="734">
        <v>1</v>
      </c>
      <c r="G23" s="734">
        <v>1</v>
      </c>
      <c r="H23" s="734">
        <v>1</v>
      </c>
      <c r="I23" s="734">
        <v>1</v>
      </c>
      <c r="J23" s="734">
        <v>1</v>
      </c>
      <c r="K23" s="734">
        <v>1</v>
      </c>
      <c r="L23" s="734">
        <v>1</v>
      </c>
      <c r="M23" s="734">
        <v>1</v>
      </c>
      <c r="N23" s="735">
        <v>1</v>
      </c>
      <c r="O23" s="748"/>
      <c r="P23" s="261">
        <v>9</v>
      </c>
      <c r="Q23" s="262">
        <f t="shared" si="7"/>
        <v>2593.5000000000005</v>
      </c>
      <c r="R23" s="262">
        <f t="shared" si="7"/>
        <v>0</v>
      </c>
      <c r="S23" s="263">
        <f t="shared" si="6"/>
        <v>0</v>
      </c>
      <c r="T23" s="257"/>
      <c r="U23" s="257"/>
      <c r="V23" s="61"/>
      <c r="W23" s="61"/>
      <c r="X23" s="61"/>
      <c r="Y23" s="61"/>
      <c r="Z23" s="61"/>
      <c r="AA23" s="61"/>
      <c r="AB23" s="12"/>
      <c r="AC23" s="23"/>
    </row>
    <row r="24" spans="1:29" ht="12.75" customHeight="1">
      <c r="A24" s="23"/>
      <c r="B24" s="736" t="s">
        <v>582</v>
      </c>
      <c r="C24" s="737">
        <f>IFERROR(LOOKUP(C20,$P$15:$P$26,$R$15:$R$26)*C23,0)</f>
        <v>0</v>
      </c>
      <c r="D24" s="737">
        <f t="shared" ref="D24:N24" si="10">LOOKUP(D20, $P$15:$P$26, $R$15:$R$26)*D23</f>
        <v>0</v>
      </c>
      <c r="E24" s="737">
        <f t="shared" si="10"/>
        <v>0</v>
      </c>
      <c r="F24" s="737">
        <f t="shared" si="10"/>
        <v>0</v>
      </c>
      <c r="G24" s="737">
        <f t="shared" si="10"/>
        <v>0</v>
      </c>
      <c r="H24" s="737">
        <f t="shared" si="10"/>
        <v>0</v>
      </c>
      <c r="I24" s="737">
        <f t="shared" si="10"/>
        <v>0</v>
      </c>
      <c r="J24" s="737">
        <f t="shared" si="10"/>
        <v>0</v>
      </c>
      <c r="K24" s="737">
        <f t="shared" si="10"/>
        <v>0</v>
      </c>
      <c r="L24" s="737">
        <f t="shared" si="10"/>
        <v>0</v>
      </c>
      <c r="M24" s="737">
        <f t="shared" si="10"/>
        <v>0</v>
      </c>
      <c r="N24" s="738">
        <f t="shared" si="10"/>
        <v>0</v>
      </c>
      <c r="O24" s="748"/>
      <c r="P24" s="261">
        <v>10</v>
      </c>
      <c r="Q24" s="262">
        <f>Q15</f>
        <v>0</v>
      </c>
      <c r="R24" s="262">
        <f>R15</f>
        <v>0</v>
      </c>
      <c r="S24" s="263">
        <f t="shared" si="6"/>
        <v>0</v>
      </c>
      <c r="T24" s="257"/>
      <c r="U24" s="257"/>
      <c r="V24" s="61"/>
      <c r="W24" s="61"/>
      <c r="X24" s="61"/>
      <c r="Y24" s="61"/>
      <c r="Z24" s="61"/>
      <c r="AA24" s="61"/>
      <c r="AB24" s="12"/>
      <c r="AC24" s="23"/>
    </row>
    <row r="25" spans="1:29" ht="12.75" customHeight="1">
      <c r="A25" s="23"/>
      <c r="B25" s="733" t="s">
        <v>577</v>
      </c>
      <c r="C25" s="734">
        <v>1</v>
      </c>
      <c r="D25" s="734">
        <v>1</v>
      </c>
      <c r="E25" s="734">
        <v>1</v>
      </c>
      <c r="F25" s="734">
        <v>1</v>
      </c>
      <c r="G25" s="734">
        <v>1</v>
      </c>
      <c r="H25" s="734">
        <v>1</v>
      </c>
      <c r="I25" s="734">
        <v>1</v>
      </c>
      <c r="J25" s="734">
        <v>1</v>
      </c>
      <c r="K25" s="734">
        <v>1</v>
      </c>
      <c r="L25" s="734">
        <v>1</v>
      </c>
      <c r="M25" s="734">
        <v>1</v>
      </c>
      <c r="N25" s="735">
        <v>1</v>
      </c>
      <c r="O25" s="748"/>
      <c r="P25" s="261">
        <v>11</v>
      </c>
      <c r="Q25" s="262">
        <f>Q16</f>
        <v>0</v>
      </c>
      <c r="R25" s="262">
        <f>R24</f>
        <v>0</v>
      </c>
      <c r="S25" s="263">
        <f t="shared" si="6"/>
        <v>0</v>
      </c>
      <c r="T25" s="257"/>
      <c r="U25" s="257"/>
      <c r="V25" s="61"/>
      <c r="W25" s="61"/>
      <c r="X25" s="61"/>
      <c r="Y25" s="61"/>
      <c r="Z25" s="61"/>
      <c r="AA25" s="61"/>
      <c r="AB25" s="12"/>
      <c r="AC25" s="23"/>
    </row>
    <row r="26" spans="1:29" ht="12.75" customHeight="1">
      <c r="A26" s="23"/>
      <c r="B26" s="736" t="s">
        <v>583</v>
      </c>
      <c r="C26" s="737">
        <f>IFERROR(LOOKUP(C20,$P$15:$P$26,$S$15:$S$26)*C25,0)</f>
        <v>0</v>
      </c>
      <c r="D26" s="737">
        <f t="shared" ref="D26:N26" si="11">LOOKUP(D20, $P$15:$P$26, $S$15:$S$26)*D25</f>
        <v>0</v>
      </c>
      <c r="E26" s="737">
        <f t="shared" si="11"/>
        <v>0</v>
      </c>
      <c r="F26" s="737">
        <f t="shared" si="11"/>
        <v>0</v>
      </c>
      <c r="G26" s="737">
        <f t="shared" si="11"/>
        <v>0</v>
      </c>
      <c r="H26" s="737">
        <f t="shared" si="11"/>
        <v>0</v>
      </c>
      <c r="I26" s="737">
        <f t="shared" si="11"/>
        <v>0</v>
      </c>
      <c r="J26" s="737">
        <f t="shared" si="11"/>
        <v>0</v>
      </c>
      <c r="K26" s="737">
        <f t="shared" si="11"/>
        <v>0</v>
      </c>
      <c r="L26" s="737">
        <f t="shared" si="11"/>
        <v>0</v>
      </c>
      <c r="M26" s="737">
        <f t="shared" si="11"/>
        <v>0</v>
      </c>
      <c r="N26" s="738">
        <f t="shared" si="11"/>
        <v>0</v>
      </c>
      <c r="O26" s="746"/>
      <c r="P26" s="267">
        <v>12</v>
      </c>
      <c r="Q26" s="268">
        <f>Q17</f>
        <v>0</v>
      </c>
      <c r="R26" s="268">
        <f>R25</f>
        <v>0</v>
      </c>
      <c r="S26" s="269">
        <f t="shared" si="6"/>
        <v>0</v>
      </c>
      <c r="T26" s="270"/>
      <c r="U26" s="270"/>
      <c r="V26" s="65"/>
      <c r="W26" s="65"/>
      <c r="X26" s="65"/>
      <c r="Y26" s="65"/>
      <c r="Z26" s="65"/>
      <c r="AA26" s="65"/>
      <c r="AB26" s="12"/>
      <c r="AC26" s="23"/>
    </row>
    <row r="27" spans="1:29" ht="12.75" customHeight="1">
      <c r="A27" s="23"/>
      <c r="B27" s="739" t="s">
        <v>443</v>
      </c>
      <c r="C27" s="740">
        <f t="shared" ref="C27:N27" si="12">C26+C24+C22</f>
        <v>2593.5000000000005</v>
      </c>
      <c r="D27" s="740">
        <f t="shared" si="12"/>
        <v>2593.5000000000005</v>
      </c>
      <c r="E27" s="740">
        <f t="shared" si="12"/>
        <v>2593.5000000000005</v>
      </c>
      <c r="F27" s="740">
        <f t="shared" si="12"/>
        <v>2593.5000000000005</v>
      </c>
      <c r="G27" s="740">
        <f t="shared" si="12"/>
        <v>0</v>
      </c>
      <c r="H27" s="740">
        <f t="shared" si="12"/>
        <v>0</v>
      </c>
      <c r="I27" s="740">
        <f t="shared" si="12"/>
        <v>0</v>
      </c>
      <c r="J27" s="740">
        <f t="shared" si="12"/>
        <v>0</v>
      </c>
      <c r="K27" s="740">
        <f t="shared" si="12"/>
        <v>0</v>
      </c>
      <c r="L27" s="740">
        <f t="shared" si="12"/>
        <v>0</v>
      </c>
      <c r="M27" s="740">
        <f t="shared" si="12"/>
        <v>2593.5000000000005</v>
      </c>
      <c r="N27" s="741">
        <f t="shared" si="12"/>
        <v>2593.5000000000005</v>
      </c>
      <c r="O27" s="748"/>
      <c r="P27" s="270"/>
      <c r="Q27" s="270"/>
      <c r="R27" s="270"/>
      <c r="S27" s="270"/>
      <c r="T27" s="270"/>
      <c r="U27" s="270"/>
      <c r="V27" s="65"/>
      <c r="W27" s="65"/>
      <c r="X27" s="65"/>
      <c r="Y27" s="65"/>
      <c r="Z27" s="65"/>
      <c r="AA27" s="65"/>
      <c r="AB27" s="12"/>
      <c r="AC27" s="23"/>
    </row>
    <row r="28" spans="1:29" ht="12.75" customHeight="1">
      <c r="A28" s="23"/>
      <c r="B28" s="749"/>
      <c r="C28" s="750"/>
      <c r="D28" s="750"/>
      <c r="E28" s="750"/>
      <c r="F28" s="750"/>
      <c r="G28" s="750"/>
      <c r="H28" s="750"/>
      <c r="I28" s="750"/>
      <c r="J28" s="750"/>
      <c r="K28" s="750"/>
      <c r="L28" s="750"/>
      <c r="M28" s="750"/>
      <c r="N28" s="750"/>
      <c r="O28" s="751"/>
      <c r="P28" s="257"/>
      <c r="Q28" s="257"/>
      <c r="R28" s="257"/>
      <c r="S28" s="257"/>
      <c r="T28" s="257"/>
      <c r="U28" s="257"/>
      <c r="V28" s="61"/>
      <c r="W28" s="61"/>
      <c r="X28" s="61"/>
      <c r="Y28" s="61"/>
      <c r="Z28" s="61"/>
      <c r="AA28" s="61"/>
      <c r="AB28" s="12"/>
      <c r="AC28" s="23"/>
    </row>
    <row r="29" spans="1:29" ht="12.75" customHeight="1">
      <c r="A29" s="54"/>
      <c r="B29" s="752" t="s">
        <v>585</v>
      </c>
      <c r="C29" s="753"/>
      <c r="D29" s="753"/>
      <c r="E29" s="753"/>
      <c r="F29" s="753"/>
      <c r="G29" s="753"/>
      <c r="H29" s="753"/>
      <c r="I29" s="753"/>
      <c r="J29" s="753"/>
      <c r="K29" s="753"/>
      <c r="L29" s="753"/>
      <c r="M29" s="753"/>
      <c r="N29" s="754"/>
      <c r="O29" s="747"/>
      <c r="P29" s="256"/>
      <c r="Q29" s="256"/>
      <c r="R29" s="256"/>
      <c r="S29" s="256"/>
      <c r="T29" s="256"/>
      <c r="U29" s="256"/>
      <c r="V29" s="60"/>
      <c r="W29" s="60"/>
      <c r="X29" s="60"/>
      <c r="Y29" s="60"/>
      <c r="Z29" s="60"/>
      <c r="AA29" s="60"/>
      <c r="AB29" s="54"/>
      <c r="AC29" s="54"/>
    </row>
    <row r="30" spans="1:29" ht="12.75" customHeight="1">
      <c r="A30" s="23"/>
      <c r="B30" s="755" t="s">
        <v>31</v>
      </c>
      <c r="C30" s="1303">
        <f>C20</f>
        <v>6</v>
      </c>
      <c r="D30" s="756">
        <f t="shared" ref="D30:N30" si="13">IF(C30&lt;12, C30+1, 1)</f>
        <v>7</v>
      </c>
      <c r="E30" s="756">
        <f t="shared" si="13"/>
        <v>8</v>
      </c>
      <c r="F30" s="756">
        <f t="shared" si="13"/>
        <v>9</v>
      </c>
      <c r="G30" s="756">
        <f t="shared" si="13"/>
        <v>10</v>
      </c>
      <c r="H30" s="756">
        <f t="shared" si="13"/>
        <v>11</v>
      </c>
      <c r="I30" s="756">
        <f t="shared" si="13"/>
        <v>12</v>
      </c>
      <c r="J30" s="756">
        <f t="shared" si="13"/>
        <v>1</v>
      </c>
      <c r="K30" s="756">
        <f t="shared" si="13"/>
        <v>2</v>
      </c>
      <c r="L30" s="756">
        <f t="shared" si="13"/>
        <v>3</v>
      </c>
      <c r="M30" s="756">
        <f t="shared" si="13"/>
        <v>4</v>
      </c>
      <c r="N30" s="757">
        <f t="shared" si="13"/>
        <v>5</v>
      </c>
      <c r="O30" s="748"/>
      <c r="P30" s="257"/>
      <c r="Q30" s="257"/>
      <c r="R30" s="257"/>
      <c r="S30" s="257"/>
      <c r="T30" s="257"/>
      <c r="U30" s="257"/>
      <c r="V30" s="61"/>
      <c r="W30" s="61"/>
      <c r="X30" s="61"/>
      <c r="Y30" s="61"/>
      <c r="Z30" s="61"/>
      <c r="AA30" s="61"/>
      <c r="AB30" s="12"/>
      <c r="AC30" s="23"/>
    </row>
    <row r="31" spans="1:29" ht="12.75" customHeight="1">
      <c r="A31" s="23"/>
      <c r="B31" s="736" t="s">
        <v>504</v>
      </c>
      <c r="C31" s="1300"/>
      <c r="D31" s="1300"/>
      <c r="E31" s="1300"/>
      <c r="F31" s="1300"/>
      <c r="G31" s="1300"/>
      <c r="H31" s="1300"/>
      <c r="I31" s="1300" t="str">
        <f>IF('Plant &amp; Fish Production'!$C$59&lt;8, 'REV &amp; COGS'!$I$12, "")</f>
        <v/>
      </c>
      <c r="J31" s="1300" t="str">
        <f>IF('Plant &amp; Fish Production'!$C$59&lt;9, 'REV &amp; COGS'!$I$12, "")</f>
        <v/>
      </c>
      <c r="K31" s="1300" t="str">
        <f>IF('Plant &amp; Fish Production'!$C$59&lt;10, 'REV &amp; COGS'!$I$12, "")</f>
        <v/>
      </c>
      <c r="L31" s="1300" t="str">
        <f>IF('Plant &amp; Fish Production'!$C$59&lt;11, 'REV &amp; COGS'!$I$12, "")</f>
        <v/>
      </c>
      <c r="M31" s="1300" t="str">
        <f>IF('Plant &amp; Fish Production'!$C$59&lt;12, 'REV &amp; COGS'!$I$12, "")</f>
        <v/>
      </c>
      <c r="N31" s="758" t="str">
        <f>IF('Plant &amp; Fish Production'!$C$59&lt;13, 'REV &amp; COGS'!$I$12, "")</f>
        <v/>
      </c>
      <c r="O31" s="748"/>
      <c r="P31" s="257"/>
      <c r="Q31" s="257"/>
      <c r="R31" s="257"/>
      <c r="S31" s="257"/>
      <c r="T31" s="257"/>
      <c r="U31" s="257"/>
      <c r="V31" s="61"/>
      <c r="W31" s="61"/>
      <c r="X31" s="61"/>
      <c r="Y31" s="61"/>
      <c r="Z31" s="61"/>
      <c r="AA31" s="61"/>
      <c r="AB31" s="12"/>
      <c r="AC31" s="23"/>
    </row>
    <row r="32" spans="1:29" ht="12.75" customHeight="1">
      <c r="A32" s="23"/>
      <c r="B32" s="755" t="s">
        <v>21</v>
      </c>
      <c r="C32" s="1303">
        <f>C30</f>
        <v>6</v>
      </c>
      <c r="D32" s="756">
        <f t="shared" ref="D32:N32" si="14">IF(C32&lt;12, C32+1, 1)</f>
        <v>7</v>
      </c>
      <c r="E32" s="756">
        <f t="shared" si="14"/>
        <v>8</v>
      </c>
      <c r="F32" s="756">
        <f t="shared" si="14"/>
        <v>9</v>
      </c>
      <c r="G32" s="756">
        <f t="shared" si="14"/>
        <v>10</v>
      </c>
      <c r="H32" s="756">
        <f t="shared" si="14"/>
        <v>11</v>
      </c>
      <c r="I32" s="756">
        <f t="shared" si="14"/>
        <v>12</v>
      </c>
      <c r="J32" s="756">
        <f t="shared" si="14"/>
        <v>1</v>
      </c>
      <c r="K32" s="756">
        <f t="shared" si="14"/>
        <v>2</v>
      </c>
      <c r="L32" s="756">
        <f t="shared" si="14"/>
        <v>3</v>
      </c>
      <c r="M32" s="756">
        <f t="shared" si="14"/>
        <v>4</v>
      </c>
      <c r="N32" s="757">
        <f t="shared" si="14"/>
        <v>5</v>
      </c>
      <c r="O32" s="748"/>
      <c r="P32" s="257"/>
      <c r="Q32" s="257"/>
      <c r="R32" s="257"/>
      <c r="S32" s="257"/>
      <c r="T32" s="257"/>
      <c r="U32" s="257"/>
      <c r="V32" s="61"/>
      <c r="W32" s="61"/>
      <c r="X32" s="61"/>
      <c r="Y32" s="61"/>
      <c r="Z32" s="61"/>
      <c r="AA32" s="61"/>
      <c r="AB32" s="12"/>
      <c r="AC32" s="23"/>
    </row>
    <row r="33" spans="1:29" ht="12.75" customHeight="1">
      <c r="A33" s="23"/>
      <c r="B33" s="759" t="s">
        <v>504</v>
      </c>
      <c r="C33" s="760" t="str">
        <f>N31</f>
        <v/>
      </c>
      <c r="D33" s="760" t="str">
        <f t="shared" ref="D33:N33" si="15">C33</f>
        <v/>
      </c>
      <c r="E33" s="760" t="str">
        <f t="shared" si="15"/>
        <v/>
      </c>
      <c r="F33" s="760" t="str">
        <f t="shared" si="15"/>
        <v/>
      </c>
      <c r="G33" s="760" t="str">
        <f t="shared" si="15"/>
        <v/>
      </c>
      <c r="H33" s="760" t="str">
        <f t="shared" si="15"/>
        <v/>
      </c>
      <c r="I33" s="760" t="str">
        <f t="shared" si="15"/>
        <v/>
      </c>
      <c r="J33" s="760" t="str">
        <f t="shared" si="15"/>
        <v/>
      </c>
      <c r="K33" s="760" t="str">
        <f t="shared" si="15"/>
        <v/>
      </c>
      <c r="L33" s="760" t="str">
        <f t="shared" si="15"/>
        <v/>
      </c>
      <c r="M33" s="760" t="str">
        <f t="shared" si="15"/>
        <v/>
      </c>
      <c r="N33" s="761" t="str">
        <f t="shared" si="15"/>
        <v/>
      </c>
      <c r="O33" s="746"/>
      <c r="P33" s="270"/>
      <c r="Q33" s="270"/>
      <c r="R33" s="270"/>
      <c r="S33" s="270"/>
      <c r="T33" s="270"/>
      <c r="U33" s="270"/>
      <c r="V33" s="65"/>
      <c r="W33" s="65"/>
      <c r="X33" s="65"/>
      <c r="Y33" s="65"/>
      <c r="Z33" s="65"/>
      <c r="AA33" s="65"/>
      <c r="AB33" s="12"/>
      <c r="AC33" s="23"/>
    </row>
    <row r="34" spans="1:29" ht="12.75" customHeight="1">
      <c r="A34" s="23"/>
      <c r="O34" s="751"/>
      <c r="P34" s="270"/>
      <c r="Q34" s="270"/>
      <c r="R34" s="270"/>
      <c r="S34" s="270"/>
      <c r="T34" s="270"/>
      <c r="U34" s="270"/>
      <c r="V34" s="65"/>
      <c r="W34" s="65"/>
      <c r="X34" s="65"/>
      <c r="Y34" s="65"/>
      <c r="Z34" s="65"/>
      <c r="AA34" s="65"/>
      <c r="AB34" s="12"/>
      <c r="AC34" s="23"/>
    </row>
    <row r="35" spans="1:29" ht="12.75" customHeight="1">
      <c r="A35" s="23"/>
      <c r="B35" s="762" t="s">
        <v>586</v>
      </c>
      <c r="C35" s="763"/>
      <c r="D35" s="763"/>
      <c r="E35" s="763"/>
      <c r="F35" s="763"/>
      <c r="G35" s="763"/>
      <c r="H35" s="763"/>
      <c r="I35" s="763"/>
      <c r="J35" s="763"/>
      <c r="K35" s="763"/>
      <c r="L35" s="763"/>
      <c r="M35" s="763"/>
      <c r="N35" s="763"/>
      <c r="O35" s="1110"/>
      <c r="P35" s="222"/>
      <c r="Q35" s="222"/>
      <c r="R35" s="222"/>
      <c r="S35" s="222"/>
      <c r="T35" s="222"/>
      <c r="U35" s="222"/>
      <c r="V35" s="12"/>
      <c r="W35" s="12"/>
      <c r="X35" s="12"/>
      <c r="Y35" s="12"/>
      <c r="Z35" s="12"/>
      <c r="AA35" s="12"/>
      <c r="AB35" s="12"/>
      <c r="AC35" s="23"/>
    </row>
    <row r="36" spans="1:29" ht="12.75" customHeight="1">
      <c r="A36" s="23"/>
      <c r="B36" s="1489" t="s">
        <v>587</v>
      </c>
      <c r="C36" s="1490"/>
      <c r="D36" s="1490"/>
      <c r="E36" s="1490"/>
      <c r="F36" s="1490"/>
      <c r="G36" s="1490"/>
      <c r="H36" s="1490"/>
      <c r="I36" s="1490"/>
      <c r="J36" s="1490"/>
      <c r="K36" s="1490"/>
      <c r="L36" s="1490"/>
      <c r="M36" s="1490"/>
      <c r="N36" s="1490"/>
      <c r="O36" s="1110"/>
      <c r="P36" s="271"/>
      <c r="Q36" s="271"/>
      <c r="R36" s="271"/>
      <c r="S36" s="271"/>
      <c r="T36" s="271"/>
      <c r="U36" s="271"/>
      <c r="V36" s="66"/>
      <c r="W36" s="66"/>
      <c r="X36" s="66"/>
      <c r="Y36" s="12"/>
      <c r="Z36" s="12"/>
      <c r="AA36" s="12"/>
      <c r="AB36" s="12"/>
      <c r="AC36" s="23"/>
    </row>
    <row r="37" spans="1:29" ht="12.75" customHeight="1">
      <c r="A37" s="23"/>
      <c r="B37" s="1490"/>
      <c r="C37" s="1490"/>
      <c r="D37" s="1490"/>
      <c r="E37" s="1490"/>
      <c r="F37" s="1490"/>
      <c r="G37" s="1490"/>
      <c r="H37" s="1490"/>
      <c r="I37" s="1490"/>
      <c r="J37" s="1490"/>
      <c r="K37" s="1490"/>
      <c r="L37" s="1490"/>
      <c r="M37" s="1490"/>
      <c r="N37" s="1490"/>
      <c r="O37" s="1110"/>
      <c r="P37" s="271"/>
      <c r="Q37" s="271"/>
      <c r="R37" s="271"/>
      <c r="S37" s="271"/>
      <c r="T37" s="271"/>
      <c r="U37" s="271"/>
      <c r="V37" s="66"/>
      <c r="W37" s="66"/>
      <c r="X37" s="66"/>
      <c r="Y37" s="12"/>
      <c r="Z37" s="12"/>
      <c r="AA37" s="12"/>
      <c r="AB37" s="12"/>
      <c r="AC37" s="23"/>
    </row>
    <row r="38" spans="1:29" ht="12.75" customHeight="1">
      <c r="A38" s="23"/>
      <c r="B38" s="1490"/>
      <c r="C38" s="1490"/>
      <c r="D38" s="1490"/>
      <c r="E38" s="1490"/>
      <c r="F38" s="1490"/>
      <c r="G38" s="1490"/>
      <c r="H38" s="1490"/>
      <c r="I38" s="1490"/>
      <c r="J38" s="1490"/>
      <c r="K38" s="1490"/>
      <c r="L38" s="1490"/>
      <c r="M38" s="1490"/>
      <c r="N38" s="1490"/>
      <c r="O38" s="278"/>
      <c r="P38" s="222"/>
      <c r="Q38" s="222"/>
      <c r="R38" s="222"/>
      <c r="S38" s="222"/>
      <c r="T38" s="222"/>
      <c r="U38" s="222"/>
      <c r="V38" s="12"/>
      <c r="W38" s="12"/>
      <c r="X38" s="12"/>
      <c r="Y38" s="12"/>
      <c r="Z38" s="12"/>
      <c r="AA38" s="12"/>
      <c r="AB38" s="12"/>
      <c r="AC38" s="23"/>
    </row>
    <row r="39" spans="1:29" ht="22.2" customHeight="1">
      <c r="A39" s="23"/>
      <c r="B39" s="1490"/>
      <c r="C39" s="1490"/>
      <c r="D39" s="1490"/>
      <c r="E39" s="1490"/>
      <c r="F39" s="1490"/>
      <c r="G39" s="1490"/>
      <c r="H39" s="1490"/>
      <c r="I39" s="1490"/>
      <c r="J39" s="1490"/>
      <c r="K39" s="1490"/>
      <c r="L39" s="1490"/>
      <c r="M39" s="1490"/>
      <c r="N39" s="1490"/>
      <c r="O39" s="278"/>
      <c r="P39" s="222"/>
      <c r="Q39" s="222"/>
      <c r="R39" s="222"/>
      <c r="S39" s="222"/>
      <c r="T39" s="222"/>
      <c r="U39" s="222"/>
      <c r="V39" s="12"/>
      <c r="W39" s="12"/>
      <c r="X39" s="12"/>
      <c r="Y39" s="12"/>
      <c r="Z39" s="12"/>
      <c r="AA39" s="12"/>
      <c r="AB39" s="12"/>
      <c r="AC39" s="23"/>
    </row>
    <row r="40" spans="1:29" ht="12.75" customHeight="1">
      <c r="A40" s="23"/>
      <c r="B40" s="1304" t="s">
        <v>588</v>
      </c>
      <c r="AA40" s="12"/>
      <c r="AB40" s="12"/>
      <c r="AC40" s="23"/>
    </row>
    <row r="41" spans="1:29" ht="14.4">
      <c r="A41" s="23"/>
      <c r="B41" s="1304" t="s">
        <v>589</v>
      </c>
      <c r="V41" s="23"/>
      <c r="W41" s="23"/>
      <c r="X41" s="23"/>
      <c r="Y41" s="23"/>
      <c r="Z41" s="23"/>
      <c r="AA41" s="23"/>
      <c r="AB41" s="23"/>
      <c r="AC41" s="23"/>
    </row>
    <row r="42" spans="1:29" ht="12.3">
      <c r="A42" s="23"/>
      <c r="V42" s="23"/>
      <c r="W42" s="23"/>
      <c r="X42" s="23"/>
      <c r="Y42" s="23"/>
      <c r="Z42" s="23"/>
      <c r="AA42" s="23"/>
      <c r="AB42" s="23"/>
      <c r="AC42" s="23"/>
    </row>
    <row r="43" spans="1:29" ht="12.3">
      <c r="A43" s="23"/>
      <c r="V43" s="23"/>
      <c r="W43" s="23"/>
      <c r="X43" s="23"/>
      <c r="Y43" s="23"/>
      <c r="Z43" s="23"/>
      <c r="AA43" s="23"/>
      <c r="AB43" s="23"/>
      <c r="AC43" s="23"/>
    </row>
    <row r="44" spans="1:29" ht="12.3">
      <c r="A44" s="23"/>
      <c r="C44" s="764"/>
      <c r="D44" s="764"/>
      <c r="E44" s="764"/>
      <c r="F44" s="764"/>
      <c r="G44" s="764"/>
      <c r="H44" s="764"/>
      <c r="V44" s="23"/>
      <c r="W44" s="23"/>
      <c r="X44" s="23"/>
      <c r="Y44" s="23"/>
      <c r="Z44" s="23"/>
      <c r="AA44" s="23"/>
      <c r="AB44" s="23"/>
      <c r="AC44" s="23"/>
    </row>
    <row r="45" spans="1:29" ht="12.3">
      <c r="A45" s="23"/>
      <c r="V45" s="23"/>
      <c r="W45" s="23"/>
      <c r="X45" s="23"/>
      <c r="Y45" s="23"/>
      <c r="Z45" s="23"/>
      <c r="AA45" s="23"/>
      <c r="AB45" s="23"/>
      <c r="AC45" s="23"/>
    </row>
    <row r="46" spans="1:29" ht="12.3">
      <c r="A46" s="23"/>
      <c r="V46" s="23"/>
      <c r="W46" s="23"/>
      <c r="X46" s="23"/>
      <c r="Y46" s="23"/>
      <c r="Z46" s="23"/>
      <c r="AA46" s="23"/>
      <c r="AB46" s="23"/>
      <c r="AC46" s="23"/>
    </row>
    <row r="47" spans="1:29" ht="12.3">
      <c r="A47" s="23"/>
      <c r="V47" s="23"/>
      <c r="W47" s="23"/>
      <c r="X47" s="23"/>
      <c r="Y47" s="23"/>
      <c r="Z47" s="23"/>
      <c r="AA47" s="23"/>
      <c r="AB47" s="23"/>
      <c r="AC47" s="23"/>
    </row>
    <row r="48" spans="1:29" ht="12.3">
      <c r="A48" s="23"/>
      <c r="V48" s="23"/>
      <c r="W48" s="23"/>
      <c r="X48" s="23"/>
      <c r="Y48" s="23"/>
      <c r="Z48" s="23"/>
      <c r="AA48" s="23"/>
      <c r="AB48" s="23"/>
      <c r="AC48" s="23"/>
    </row>
    <row r="49" spans="1:29" ht="12.3">
      <c r="A49" s="23"/>
      <c r="V49" s="23"/>
      <c r="W49" s="23"/>
      <c r="X49" s="23"/>
      <c r="Y49" s="23"/>
      <c r="Z49" s="23"/>
      <c r="AA49" s="23"/>
      <c r="AB49" s="23"/>
      <c r="AC49" s="23"/>
    </row>
    <row r="50" spans="1:29" ht="12.3">
      <c r="A50" s="23"/>
      <c r="V50" s="23"/>
      <c r="W50" s="23"/>
      <c r="X50" s="23"/>
      <c r="Y50" s="23"/>
      <c r="Z50" s="23"/>
      <c r="AA50" s="23"/>
      <c r="AB50" s="23"/>
      <c r="AC50" s="23"/>
    </row>
    <row r="51" spans="1:29" ht="12.3">
      <c r="A51" s="23"/>
      <c r="V51" s="23"/>
      <c r="W51" s="23"/>
      <c r="X51" s="23"/>
      <c r="Y51" s="23"/>
      <c r="Z51" s="23"/>
      <c r="AA51" s="23"/>
      <c r="AB51" s="23"/>
      <c r="AC51" s="23"/>
    </row>
    <row r="52" spans="1:29" ht="12.3">
      <c r="A52" s="23"/>
      <c r="V52" s="23"/>
      <c r="W52" s="23"/>
      <c r="X52" s="23"/>
      <c r="Y52" s="23"/>
      <c r="Z52" s="23"/>
      <c r="AA52" s="23"/>
      <c r="AB52" s="23"/>
      <c r="AC52" s="23"/>
    </row>
    <row r="53" spans="1:29" ht="12.3">
      <c r="A53" s="23"/>
      <c r="V53" s="23"/>
      <c r="W53" s="23"/>
      <c r="X53" s="23"/>
      <c r="Y53" s="23"/>
      <c r="Z53" s="23"/>
      <c r="AA53" s="23"/>
      <c r="AB53" s="23"/>
      <c r="AC53" s="23"/>
    </row>
    <row r="54" spans="1:29" ht="12.3">
      <c r="A54" s="23"/>
      <c r="V54" s="23"/>
      <c r="W54" s="23"/>
      <c r="X54" s="23"/>
      <c r="Y54" s="23"/>
      <c r="Z54" s="23"/>
      <c r="AA54" s="23"/>
      <c r="AB54" s="23"/>
      <c r="AC54" s="23"/>
    </row>
    <row r="55" spans="1:29" ht="12.3">
      <c r="A55" s="23"/>
      <c r="V55" s="23"/>
      <c r="W55" s="23"/>
      <c r="X55" s="23"/>
      <c r="Y55" s="23"/>
      <c r="Z55" s="23"/>
      <c r="AA55" s="23"/>
      <c r="AB55" s="23"/>
      <c r="AC55" s="23"/>
    </row>
    <row r="56" spans="1:29" ht="12.3">
      <c r="A56" s="23"/>
      <c r="V56" s="23"/>
      <c r="W56" s="23"/>
      <c r="X56" s="23"/>
      <c r="Y56" s="23"/>
      <c r="Z56" s="23"/>
      <c r="AA56" s="23"/>
      <c r="AB56" s="23"/>
      <c r="AC56" s="23"/>
    </row>
    <row r="57" spans="1:29" ht="12.3">
      <c r="A57" s="23"/>
      <c r="V57" s="23"/>
      <c r="W57" s="23"/>
      <c r="X57" s="23"/>
      <c r="Y57" s="23"/>
      <c r="Z57" s="23"/>
      <c r="AA57" s="23"/>
      <c r="AB57" s="23"/>
      <c r="AC57" s="23"/>
    </row>
    <row r="58" spans="1:29" ht="12.3">
      <c r="A58" s="23"/>
      <c r="V58" s="23"/>
      <c r="W58" s="23"/>
      <c r="X58" s="23"/>
      <c r="Y58" s="23"/>
      <c r="Z58" s="23"/>
      <c r="AA58" s="23"/>
      <c r="AB58" s="23"/>
      <c r="AC58" s="23"/>
    </row>
    <row r="59" spans="1:29" ht="12.3">
      <c r="A59" s="23"/>
      <c r="V59" s="23"/>
      <c r="W59" s="23"/>
      <c r="X59" s="23"/>
      <c r="Y59" s="23"/>
      <c r="Z59" s="23"/>
      <c r="AA59" s="23"/>
      <c r="AB59" s="23"/>
      <c r="AC59" s="23"/>
    </row>
    <row r="60" spans="1:29" ht="12.3">
      <c r="A60" s="23"/>
      <c r="V60" s="23"/>
      <c r="W60" s="23"/>
      <c r="X60" s="23"/>
      <c r="Y60" s="23"/>
      <c r="Z60" s="23"/>
      <c r="AA60" s="23"/>
      <c r="AB60" s="23"/>
      <c r="AC60" s="23"/>
    </row>
    <row r="61" spans="1:29" ht="12.3">
      <c r="A61" s="23"/>
      <c r="V61" s="23"/>
      <c r="W61" s="23"/>
      <c r="X61" s="23"/>
      <c r="Y61" s="23"/>
      <c r="Z61" s="23"/>
      <c r="AA61" s="23"/>
      <c r="AB61" s="23"/>
      <c r="AC61" s="23"/>
    </row>
    <row r="62" spans="1:29" ht="12.3">
      <c r="A62" s="23"/>
      <c r="V62" s="23"/>
      <c r="W62" s="23"/>
      <c r="X62" s="23"/>
      <c r="Y62" s="23"/>
      <c r="Z62" s="23"/>
      <c r="AA62" s="23"/>
      <c r="AB62" s="23"/>
      <c r="AC62" s="23"/>
    </row>
    <row r="63" spans="1:29" ht="12.3">
      <c r="A63" s="23"/>
      <c r="V63" s="23"/>
      <c r="W63" s="23"/>
      <c r="X63" s="23"/>
      <c r="Y63" s="23"/>
      <c r="Z63" s="23"/>
      <c r="AA63" s="23"/>
      <c r="AB63" s="23"/>
      <c r="AC63" s="23"/>
    </row>
    <row r="64" spans="1:29" ht="12.3">
      <c r="A64" s="23"/>
      <c r="V64" s="23"/>
      <c r="W64" s="23"/>
      <c r="X64" s="23"/>
      <c r="Y64" s="23"/>
      <c r="Z64" s="23"/>
      <c r="AA64" s="23"/>
      <c r="AB64" s="23"/>
      <c r="AC64" s="23"/>
    </row>
    <row r="65" spans="1:29" ht="12.3">
      <c r="A65" s="23"/>
      <c r="V65" s="23"/>
      <c r="W65" s="23"/>
      <c r="X65" s="23"/>
      <c r="Y65" s="23"/>
      <c r="Z65" s="23"/>
      <c r="AA65" s="23"/>
      <c r="AB65" s="23"/>
      <c r="AC65" s="23"/>
    </row>
    <row r="66" spans="1:29" ht="12.3">
      <c r="A66" s="23"/>
      <c r="V66" s="23"/>
      <c r="W66" s="23"/>
      <c r="X66" s="23"/>
      <c r="Y66" s="23"/>
      <c r="Z66" s="23"/>
      <c r="AA66" s="23"/>
      <c r="AB66" s="23"/>
      <c r="AC66" s="23"/>
    </row>
    <row r="67" spans="1:29" ht="12.3">
      <c r="A67" s="23"/>
      <c r="V67" s="23"/>
      <c r="W67" s="23"/>
      <c r="X67" s="23"/>
      <c r="Y67" s="23"/>
      <c r="Z67" s="23"/>
      <c r="AA67" s="23"/>
      <c r="AB67" s="23"/>
      <c r="AC67" s="23"/>
    </row>
    <row r="68" spans="1:29" ht="12.3">
      <c r="A68" s="23"/>
      <c r="V68" s="23"/>
      <c r="W68" s="23"/>
      <c r="X68" s="23"/>
      <c r="Y68" s="23"/>
      <c r="Z68" s="23"/>
      <c r="AA68" s="23"/>
      <c r="AB68" s="23"/>
      <c r="AC68" s="23"/>
    </row>
    <row r="69" spans="1:29" ht="12.3">
      <c r="A69" s="23"/>
      <c r="V69" s="23"/>
      <c r="W69" s="23"/>
      <c r="X69" s="23"/>
      <c r="Y69" s="23"/>
      <c r="Z69" s="23"/>
      <c r="AA69" s="23"/>
      <c r="AB69" s="23"/>
      <c r="AC69" s="23"/>
    </row>
    <row r="70" spans="1:29" ht="12.3">
      <c r="A70" s="23"/>
      <c r="V70" s="23"/>
      <c r="W70" s="23"/>
      <c r="X70" s="23"/>
      <c r="Y70" s="23"/>
      <c r="Z70" s="23"/>
      <c r="AA70" s="23"/>
      <c r="AB70" s="23"/>
      <c r="AC70" s="23"/>
    </row>
    <row r="71" spans="1:29" ht="12.3">
      <c r="A71" s="23"/>
      <c r="V71" s="23"/>
      <c r="W71" s="23"/>
      <c r="X71" s="23"/>
      <c r="Y71" s="23"/>
      <c r="Z71" s="23"/>
      <c r="AA71" s="23"/>
      <c r="AB71" s="23"/>
      <c r="AC71" s="23"/>
    </row>
    <row r="72" spans="1:29" ht="12.3">
      <c r="A72" s="23"/>
      <c r="V72" s="23"/>
      <c r="W72" s="23"/>
      <c r="X72" s="23"/>
      <c r="Y72" s="23"/>
      <c r="Z72" s="23"/>
      <c r="AA72" s="23"/>
      <c r="AB72" s="23"/>
      <c r="AC72" s="23"/>
    </row>
    <row r="73" spans="1:29" ht="12.3">
      <c r="A73" s="23"/>
      <c r="V73" s="23"/>
      <c r="W73" s="23"/>
      <c r="X73" s="23"/>
      <c r="Y73" s="23"/>
      <c r="Z73" s="23"/>
      <c r="AA73" s="23"/>
      <c r="AB73" s="23"/>
      <c r="AC73" s="23"/>
    </row>
    <row r="74" spans="1:29" ht="12.3">
      <c r="A74" s="23"/>
      <c r="V74" s="23"/>
      <c r="W74" s="23"/>
      <c r="X74" s="23"/>
      <c r="Y74" s="23"/>
      <c r="Z74" s="23"/>
      <c r="AA74" s="23"/>
      <c r="AB74" s="23"/>
      <c r="AC74" s="23"/>
    </row>
    <row r="75" spans="1:29" ht="12.3">
      <c r="A75" s="23"/>
      <c r="V75" s="23"/>
      <c r="W75" s="23"/>
      <c r="X75" s="23"/>
      <c r="Y75" s="23"/>
      <c r="Z75" s="23"/>
      <c r="AA75" s="23"/>
      <c r="AB75" s="23"/>
      <c r="AC75" s="23"/>
    </row>
    <row r="76" spans="1:29" ht="12.3">
      <c r="A76" s="23"/>
      <c r="V76" s="23"/>
      <c r="W76" s="23"/>
      <c r="X76" s="23"/>
      <c r="Y76" s="23"/>
      <c r="Z76" s="23"/>
      <c r="AA76" s="23"/>
      <c r="AB76" s="23"/>
      <c r="AC76" s="23"/>
    </row>
    <row r="77" spans="1:29" ht="12.3">
      <c r="A77" s="23"/>
      <c r="V77" s="23"/>
      <c r="W77" s="23"/>
      <c r="X77" s="23"/>
      <c r="Y77" s="23"/>
      <c r="Z77" s="23"/>
      <c r="AA77" s="23"/>
      <c r="AB77" s="23"/>
      <c r="AC77" s="23"/>
    </row>
    <row r="78" spans="1:29" ht="12.3">
      <c r="A78" s="23"/>
      <c r="V78" s="23"/>
      <c r="W78" s="23"/>
      <c r="X78" s="23"/>
      <c r="Y78" s="23"/>
      <c r="Z78" s="23"/>
      <c r="AA78" s="23"/>
      <c r="AB78" s="23"/>
      <c r="AC78" s="23"/>
    </row>
    <row r="79" spans="1:29" ht="12.3">
      <c r="A79" s="23"/>
      <c r="V79" s="23"/>
      <c r="W79" s="23"/>
      <c r="X79" s="23"/>
      <c r="Y79" s="23"/>
      <c r="Z79" s="23"/>
      <c r="AA79" s="23"/>
      <c r="AB79" s="23"/>
      <c r="AC79" s="23"/>
    </row>
    <row r="80" spans="1:29" ht="12.3">
      <c r="A80" s="23"/>
      <c r="V80" s="23"/>
      <c r="W80" s="23"/>
      <c r="X80" s="23"/>
      <c r="Y80" s="23"/>
      <c r="Z80" s="23"/>
      <c r="AA80" s="23"/>
      <c r="AB80" s="23"/>
      <c r="AC80" s="23"/>
    </row>
    <row r="81" spans="1:29" ht="12.3">
      <c r="A81" s="23"/>
      <c r="V81" s="23"/>
      <c r="W81" s="23"/>
      <c r="X81" s="23"/>
      <c r="Y81" s="23"/>
      <c r="Z81" s="23"/>
      <c r="AA81" s="23"/>
      <c r="AB81" s="23"/>
      <c r="AC81" s="23"/>
    </row>
    <row r="82" spans="1:29" ht="12.3">
      <c r="A82" s="23"/>
      <c r="V82" s="23"/>
      <c r="W82" s="23"/>
      <c r="X82" s="23"/>
      <c r="Y82" s="23"/>
      <c r="Z82" s="23"/>
      <c r="AA82" s="23"/>
      <c r="AB82" s="23"/>
      <c r="AC82" s="23"/>
    </row>
    <row r="83" spans="1:29" ht="12.3">
      <c r="A83" s="23"/>
      <c r="V83" s="23"/>
      <c r="W83" s="23"/>
      <c r="X83" s="23"/>
      <c r="Y83" s="23"/>
      <c r="Z83" s="23"/>
      <c r="AA83" s="23"/>
      <c r="AB83" s="23"/>
      <c r="AC83" s="23"/>
    </row>
    <row r="84" spans="1:29" ht="12.3">
      <c r="A84" s="23"/>
      <c r="V84" s="23"/>
      <c r="W84" s="23"/>
      <c r="X84" s="23"/>
      <c r="Y84" s="23"/>
      <c r="Z84" s="23"/>
      <c r="AA84" s="23"/>
      <c r="AB84" s="23"/>
      <c r="AC84" s="23"/>
    </row>
    <row r="85" spans="1:29" ht="12.3">
      <c r="A85" s="23"/>
      <c r="V85" s="23"/>
      <c r="W85" s="23"/>
      <c r="X85" s="23"/>
      <c r="Y85" s="23"/>
      <c r="Z85" s="23"/>
      <c r="AA85" s="23"/>
      <c r="AB85" s="23"/>
      <c r="AC85" s="23"/>
    </row>
    <row r="86" spans="1:29" ht="12.3">
      <c r="A86" s="23"/>
      <c r="V86" s="23"/>
      <c r="W86" s="23"/>
      <c r="X86" s="23"/>
      <c r="Y86" s="23"/>
      <c r="Z86" s="23"/>
      <c r="AA86" s="23"/>
      <c r="AB86" s="23"/>
      <c r="AC86" s="23"/>
    </row>
    <row r="87" spans="1:29" ht="12.3">
      <c r="A87" s="23"/>
      <c r="V87" s="23"/>
      <c r="W87" s="23"/>
      <c r="X87" s="23"/>
      <c r="Y87" s="23"/>
      <c r="Z87" s="23"/>
      <c r="AA87" s="23"/>
      <c r="AB87" s="23"/>
      <c r="AC87" s="23"/>
    </row>
    <row r="88" spans="1:29" ht="12.3">
      <c r="A88" s="23"/>
      <c r="V88" s="23"/>
      <c r="W88" s="23"/>
      <c r="X88" s="23"/>
      <c r="Y88" s="23"/>
      <c r="Z88" s="23"/>
      <c r="AA88" s="23"/>
      <c r="AB88" s="23"/>
      <c r="AC88" s="23"/>
    </row>
    <row r="89" spans="1:29" ht="12.3">
      <c r="A89" s="23"/>
      <c r="V89" s="23"/>
      <c r="W89" s="23"/>
      <c r="X89" s="23"/>
      <c r="Y89" s="23"/>
      <c r="Z89" s="23"/>
      <c r="AA89" s="23"/>
      <c r="AB89" s="23"/>
      <c r="AC89" s="23"/>
    </row>
    <row r="90" spans="1:29" ht="12.3">
      <c r="A90" s="23"/>
      <c r="V90" s="23"/>
      <c r="W90" s="23"/>
      <c r="X90" s="23"/>
      <c r="Y90" s="23"/>
      <c r="Z90" s="23"/>
      <c r="AA90" s="23"/>
      <c r="AB90" s="23"/>
      <c r="AC90" s="23"/>
    </row>
    <row r="91" spans="1:29" ht="12.3">
      <c r="A91" s="23"/>
      <c r="V91" s="23"/>
      <c r="W91" s="23"/>
      <c r="X91" s="23"/>
      <c r="Y91" s="23"/>
      <c r="Z91" s="23"/>
      <c r="AA91" s="23"/>
      <c r="AB91" s="23"/>
      <c r="AC91" s="23"/>
    </row>
    <row r="92" spans="1:29" ht="12.3">
      <c r="A92" s="23"/>
      <c r="V92" s="23"/>
      <c r="W92" s="23"/>
      <c r="X92" s="23"/>
      <c r="Y92" s="23"/>
      <c r="Z92" s="23"/>
      <c r="AA92" s="23"/>
      <c r="AB92" s="23"/>
      <c r="AC92" s="23"/>
    </row>
    <row r="93" spans="1:29" ht="12.3">
      <c r="A93" s="23"/>
      <c r="V93" s="23"/>
      <c r="W93" s="23"/>
      <c r="X93" s="23"/>
      <c r="Y93" s="23"/>
      <c r="Z93" s="23"/>
      <c r="AA93" s="23"/>
      <c r="AB93" s="23"/>
      <c r="AC93" s="23"/>
    </row>
    <row r="94" spans="1:29" ht="12.3">
      <c r="A94" s="23"/>
      <c r="V94" s="23"/>
      <c r="W94" s="23"/>
      <c r="X94" s="23"/>
      <c r="Y94" s="23"/>
      <c r="Z94" s="23"/>
      <c r="AA94" s="23"/>
      <c r="AB94" s="23"/>
      <c r="AC94" s="23"/>
    </row>
    <row r="95" spans="1:29" ht="12.3">
      <c r="A95" s="23"/>
      <c r="V95" s="23"/>
      <c r="W95" s="23"/>
      <c r="X95" s="23"/>
      <c r="Y95" s="23"/>
      <c r="Z95" s="23"/>
      <c r="AA95" s="23"/>
      <c r="AB95" s="23"/>
      <c r="AC95" s="23"/>
    </row>
    <row r="96" spans="1:29" ht="12.3">
      <c r="A96" s="23"/>
      <c r="V96" s="23"/>
      <c r="W96" s="23"/>
      <c r="X96" s="23"/>
      <c r="Y96" s="23"/>
      <c r="Z96" s="23"/>
      <c r="AA96" s="23"/>
      <c r="AB96" s="23"/>
      <c r="AC96" s="23"/>
    </row>
    <row r="97" spans="1:29" ht="12.3">
      <c r="A97" s="23"/>
      <c r="V97" s="23"/>
      <c r="W97" s="23"/>
      <c r="X97" s="23"/>
      <c r="Y97" s="23"/>
      <c r="Z97" s="23"/>
      <c r="AA97" s="23"/>
      <c r="AB97" s="23"/>
      <c r="AC97" s="23"/>
    </row>
    <row r="98" spans="1:29" ht="12.3">
      <c r="A98" s="23"/>
      <c r="V98" s="23"/>
      <c r="W98" s="23"/>
      <c r="X98" s="23"/>
      <c r="Y98" s="23"/>
      <c r="Z98" s="23"/>
      <c r="AA98" s="23"/>
      <c r="AB98" s="23"/>
      <c r="AC98" s="23"/>
    </row>
    <row r="99" spans="1:29" ht="12.3">
      <c r="A99" s="23"/>
      <c r="V99" s="23"/>
      <c r="W99" s="23"/>
      <c r="X99" s="23"/>
      <c r="Y99" s="23"/>
      <c r="Z99" s="23"/>
      <c r="AA99" s="23"/>
      <c r="AB99" s="23"/>
      <c r="AC99" s="23"/>
    </row>
    <row r="100" spans="1:29" ht="12.3">
      <c r="A100" s="23"/>
      <c r="V100" s="23"/>
      <c r="W100" s="23"/>
      <c r="X100" s="23"/>
      <c r="Y100" s="23"/>
      <c r="Z100" s="23"/>
      <c r="AA100" s="23"/>
      <c r="AB100" s="23"/>
      <c r="AC100" s="23"/>
    </row>
    <row r="101" spans="1:29" ht="12.3">
      <c r="A101" s="23"/>
      <c r="V101" s="23"/>
      <c r="W101" s="23"/>
      <c r="X101" s="23"/>
      <c r="Y101" s="23"/>
      <c r="Z101" s="23"/>
      <c r="AA101" s="23"/>
      <c r="AB101" s="23"/>
      <c r="AC101" s="23"/>
    </row>
    <row r="102" spans="1:29" ht="12.3">
      <c r="A102" s="23"/>
      <c r="V102" s="23"/>
      <c r="W102" s="23"/>
      <c r="X102" s="23"/>
      <c r="Y102" s="23"/>
      <c r="Z102" s="23"/>
      <c r="AA102" s="23"/>
      <c r="AB102" s="23"/>
      <c r="AC102" s="23"/>
    </row>
    <row r="103" spans="1:29" ht="12.3">
      <c r="A103" s="23"/>
      <c r="V103" s="23"/>
      <c r="W103" s="23"/>
      <c r="X103" s="23"/>
      <c r="Y103" s="23"/>
      <c r="Z103" s="23"/>
      <c r="AA103" s="23"/>
      <c r="AB103" s="23"/>
      <c r="AC103" s="23"/>
    </row>
    <row r="104" spans="1:29" ht="12.3">
      <c r="A104" s="23"/>
      <c r="V104" s="23"/>
      <c r="W104" s="23"/>
      <c r="X104" s="23"/>
      <c r="Y104" s="23"/>
      <c r="Z104" s="23"/>
      <c r="AA104" s="23"/>
      <c r="AB104" s="23"/>
      <c r="AC104" s="23"/>
    </row>
    <row r="105" spans="1:29" ht="12.3">
      <c r="A105" s="23"/>
      <c r="V105" s="23"/>
      <c r="W105" s="23"/>
      <c r="X105" s="23"/>
      <c r="Y105" s="23"/>
      <c r="Z105" s="23"/>
      <c r="AA105" s="23"/>
      <c r="AB105" s="23"/>
      <c r="AC105" s="23"/>
    </row>
    <row r="106" spans="1:29" ht="12.3">
      <c r="A106" s="23"/>
      <c r="V106" s="23"/>
      <c r="W106" s="23"/>
      <c r="X106" s="23"/>
      <c r="Y106" s="23"/>
      <c r="Z106" s="23"/>
      <c r="AA106" s="23"/>
      <c r="AB106" s="23"/>
      <c r="AC106" s="23"/>
    </row>
    <row r="107" spans="1:29" ht="12.3">
      <c r="A107" s="23"/>
      <c r="V107" s="23"/>
      <c r="W107" s="23"/>
      <c r="X107" s="23"/>
      <c r="Y107" s="23"/>
      <c r="Z107" s="23"/>
      <c r="AA107" s="23"/>
      <c r="AB107" s="23"/>
      <c r="AC107" s="23"/>
    </row>
    <row r="108" spans="1:29" ht="12.3">
      <c r="A108" s="23"/>
      <c r="V108" s="23"/>
      <c r="W108" s="23"/>
      <c r="X108" s="23"/>
      <c r="Y108" s="23"/>
      <c r="Z108" s="23"/>
      <c r="AA108" s="23"/>
      <c r="AB108" s="23"/>
      <c r="AC108" s="23"/>
    </row>
    <row r="109" spans="1:29" ht="12.3">
      <c r="A109" s="23"/>
      <c r="V109" s="23"/>
      <c r="W109" s="23"/>
      <c r="X109" s="23"/>
      <c r="Y109" s="23"/>
      <c r="Z109" s="23"/>
      <c r="AA109" s="23"/>
      <c r="AB109" s="23"/>
      <c r="AC109" s="23"/>
    </row>
    <row r="110" spans="1:29" ht="12.3">
      <c r="A110" s="23"/>
      <c r="V110" s="23"/>
      <c r="W110" s="23"/>
      <c r="X110" s="23"/>
      <c r="Y110" s="23"/>
      <c r="Z110" s="23"/>
      <c r="AA110" s="23"/>
      <c r="AB110" s="23"/>
      <c r="AC110" s="23"/>
    </row>
    <row r="111" spans="1:29" ht="12.3">
      <c r="A111" s="23"/>
      <c r="V111" s="23"/>
      <c r="W111" s="23"/>
      <c r="X111" s="23"/>
      <c r="Y111" s="23"/>
      <c r="Z111" s="23"/>
      <c r="AA111" s="23"/>
      <c r="AB111" s="23"/>
      <c r="AC111" s="23"/>
    </row>
    <row r="112" spans="1:29" ht="12.3">
      <c r="A112" s="23"/>
      <c r="V112" s="23"/>
      <c r="W112" s="23"/>
      <c r="X112" s="23"/>
      <c r="Y112" s="23"/>
      <c r="Z112" s="23"/>
      <c r="AA112" s="23"/>
      <c r="AB112" s="23"/>
      <c r="AC112" s="23"/>
    </row>
    <row r="113" spans="1:29" ht="12.3">
      <c r="A113" s="23"/>
      <c r="V113" s="23"/>
      <c r="W113" s="23"/>
      <c r="X113" s="23"/>
      <c r="Y113" s="23"/>
      <c r="Z113" s="23"/>
      <c r="AA113" s="23"/>
      <c r="AB113" s="23"/>
      <c r="AC113" s="23"/>
    </row>
    <row r="114" spans="1:29" ht="12.3">
      <c r="A114" s="23"/>
      <c r="V114" s="23"/>
      <c r="W114" s="23"/>
      <c r="X114" s="23"/>
      <c r="Y114" s="23"/>
      <c r="Z114" s="23"/>
      <c r="AA114" s="23"/>
      <c r="AB114" s="23"/>
      <c r="AC114" s="23"/>
    </row>
    <row r="115" spans="1:29" ht="12.3">
      <c r="A115" s="23"/>
      <c r="V115" s="23"/>
      <c r="W115" s="23"/>
      <c r="X115" s="23"/>
      <c r="Y115" s="23"/>
      <c r="Z115" s="23"/>
      <c r="AA115" s="23"/>
      <c r="AB115" s="23"/>
      <c r="AC115" s="23"/>
    </row>
    <row r="116" spans="1:29" ht="12.3">
      <c r="A116" s="23"/>
      <c r="V116" s="23"/>
      <c r="W116" s="23"/>
      <c r="X116" s="23"/>
      <c r="Y116" s="23"/>
      <c r="Z116" s="23"/>
      <c r="AA116" s="23"/>
      <c r="AB116" s="23"/>
      <c r="AC116" s="23"/>
    </row>
    <row r="117" spans="1:29" ht="12.3">
      <c r="A117" s="23"/>
      <c r="V117" s="23"/>
      <c r="W117" s="23"/>
      <c r="X117" s="23"/>
      <c r="Y117" s="23"/>
      <c r="Z117" s="23"/>
      <c r="AA117" s="23"/>
      <c r="AB117" s="23"/>
      <c r="AC117" s="23"/>
    </row>
    <row r="118" spans="1:29" ht="12.3">
      <c r="A118" s="23"/>
      <c r="V118" s="23"/>
      <c r="W118" s="23"/>
      <c r="X118" s="23"/>
      <c r="Y118" s="23"/>
      <c r="Z118" s="23"/>
      <c r="AA118" s="23"/>
      <c r="AB118" s="23"/>
      <c r="AC118" s="23"/>
    </row>
    <row r="119" spans="1:29" ht="12.3">
      <c r="A119" s="23"/>
      <c r="V119" s="23"/>
      <c r="W119" s="23"/>
      <c r="X119" s="23"/>
      <c r="Y119" s="23"/>
      <c r="Z119" s="23"/>
      <c r="AA119" s="23"/>
      <c r="AB119" s="23"/>
      <c r="AC119" s="23"/>
    </row>
    <row r="120" spans="1:29" ht="12.3">
      <c r="A120" s="23"/>
      <c r="V120" s="23"/>
      <c r="W120" s="23"/>
      <c r="X120" s="23"/>
      <c r="Y120" s="23"/>
      <c r="Z120" s="23"/>
      <c r="AA120" s="23"/>
      <c r="AB120" s="23"/>
      <c r="AC120" s="23"/>
    </row>
    <row r="121" spans="1:29" ht="12.3">
      <c r="A121" s="23"/>
      <c r="V121" s="23"/>
      <c r="W121" s="23"/>
      <c r="X121" s="23"/>
      <c r="Y121" s="23"/>
      <c r="Z121" s="23"/>
      <c r="AA121" s="23"/>
      <c r="AB121" s="23"/>
      <c r="AC121" s="23"/>
    </row>
    <row r="122" spans="1:29" ht="12.3">
      <c r="A122" s="23"/>
      <c r="V122" s="23"/>
      <c r="W122" s="23"/>
      <c r="X122" s="23"/>
      <c r="Y122" s="23"/>
      <c r="Z122" s="23"/>
      <c r="AA122" s="23"/>
      <c r="AB122" s="23"/>
      <c r="AC122" s="23"/>
    </row>
    <row r="123" spans="1:29" ht="12.3">
      <c r="A123" s="23"/>
      <c r="V123" s="23"/>
      <c r="W123" s="23"/>
      <c r="X123" s="23"/>
      <c r="Y123" s="23"/>
      <c r="Z123" s="23"/>
      <c r="AA123" s="23"/>
      <c r="AB123" s="23"/>
      <c r="AC123" s="23"/>
    </row>
    <row r="124" spans="1:29" ht="12.3">
      <c r="A124" s="23"/>
      <c r="V124" s="23"/>
      <c r="W124" s="23"/>
      <c r="X124" s="23"/>
      <c r="Y124" s="23"/>
      <c r="Z124" s="23"/>
      <c r="AA124" s="23"/>
      <c r="AB124" s="23"/>
      <c r="AC124" s="23"/>
    </row>
    <row r="125" spans="1:29" ht="12.3">
      <c r="A125" s="23"/>
      <c r="V125" s="23"/>
      <c r="W125" s="23"/>
      <c r="X125" s="23"/>
      <c r="Y125" s="23"/>
      <c r="Z125" s="23"/>
      <c r="AA125" s="23"/>
      <c r="AB125" s="23"/>
      <c r="AC125" s="23"/>
    </row>
    <row r="126" spans="1:29" ht="12.3">
      <c r="A126" s="23"/>
      <c r="V126" s="23"/>
      <c r="W126" s="23"/>
      <c r="X126" s="23"/>
      <c r="Y126" s="23"/>
      <c r="Z126" s="23"/>
      <c r="AA126" s="23"/>
      <c r="AB126" s="23"/>
      <c r="AC126" s="23"/>
    </row>
    <row r="127" spans="1:29" ht="12.3">
      <c r="A127" s="23"/>
      <c r="V127" s="23"/>
      <c r="W127" s="23"/>
      <c r="X127" s="23"/>
      <c r="Y127" s="23"/>
      <c r="Z127" s="23"/>
      <c r="AA127" s="23"/>
      <c r="AB127" s="23"/>
      <c r="AC127" s="23"/>
    </row>
    <row r="128" spans="1:29" ht="12.3">
      <c r="A128" s="23"/>
      <c r="V128" s="23"/>
      <c r="W128" s="23"/>
      <c r="X128" s="23"/>
      <c r="Y128" s="23"/>
      <c r="Z128" s="23"/>
      <c r="AA128" s="23"/>
      <c r="AB128" s="23"/>
      <c r="AC128" s="23"/>
    </row>
    <row r="129" spans="1:29" ht="12.3">
      <c r="A129" s="23"/>
      <c r="V129" s="23"/>
      <c r="W129" s="23"/>
      <c r="X129" s="23"/>
      <c r="Y129" s="23"/>
      <c r="Z129" s="23"/>
      <c r="AA129" s="23"/>
      <c r="AB129" s="23"/>
      <c r="AC129" s="23"/>
    </row>
    <row r="130" spans="1:29" ht="12.3">
      <c r="A130" s="23"/>
      <c r="V130" s="23"/>
      <c r="W130" s="23"/>
      <c r="X130" s="23"/>
      <c r="Y130" s="23"/>
      <c r="Z130" s="23"/>
      <c r="AA130" s="23"/>
      <c r="AB130" s="23"/>
      <c r="AC130" s="23"/>
    </row>
    <row r="131" spans="1:29" ht="12.3">
      <c r="A131" s="23"/>
      <c r="V131" s="23"/>
      <c r="W131" s="23"/>
      <c r="X131" s="23"/>
      <c r="Y131" s="23"/>
      <c r="Z131" s="23"/>
      <c r="AA131" s="23"/>
      <c r="AB131" s="23"/>
      <c r="AC131" s="23"/>
    </row>
    <row r="132" spans="1:29" ht="12.3">
      <c r="A132" s="23"/>
      <c r="V132" s="23"/>
      <c r="W132" s="23"/>
      <c r="X132" s="23"/>
      <c r="Y132" s="23"/>
      <c r="Z132" s="23"/>
      <c r="AA132" s="23"/>
      <c r="AB132" s="23"/>
      <c r="AC132" s="23"/>
    </row>
    <row r="133" spans="1:29" ht="12.3">
      <c r="A133" s="23"/>
      <c r="V133" s="23"/>
      <c r="W133" s="23"/>
      <c r="X133" s="23"/>
      <c r="Y133" s="23"/>
      <c r="Z133" s="23"/>
      <c r="AA133" s="23"/>
      <c r="AB133" s="23"/>
      <c r="AC133" s="23"/>
    </row>
    <row r="134" spans="1:29" ht="12.3">
      <c r="A134" s="23"/>
      <c r="V134" s="23"/>
      <c r="W134" s="23"/>
      <c r="X134" s="23"/>
      <c r="Y134" s="23"/>
      <c r="Z134" s="23"/>
      <c r="AA134" s="23"/>
      <c r="AB134" s="23"/>
      <c r="AC134" s="23"/>
    </row>
    <row r="135" spans="1:29" ht="12.3">
      <c r="A135" s="23"/>
      <c r="V135" s="23"/>
      <c r="W135" s="23"/>
      <c r="X135" s="23"/>
      <c r="Y135" s="23"/>
      <c r="Z135" s="23"/>
      <c r="AA135" s="23"/>
      <c r="AB135" s="23"/>
      <c r="AC135" s="23"/>
    </row>
    <row r="136" spans="1:29" ht="12.3">
      <c r="A136" s="23"/>
      <c r="V136" s="23"/>
      <c r="W136" s="23"/>
      <c r="X136" s="23"/>
      <c r="Y136" s="23"/>
      <c r="Z136" s="23"/>
      <c r="AA136" s="23"/>
      <c r="AB136" s="23"/>
      <c r="AC136" s="23"/>
    </row>
    <row r="137" spans="1:29" ht="12.3">
      <c r="A137" s="23"/>
      <c r="V137" s="23"/>
      <c r="W137" s="23"/>
      <c r="X137" s="23"/>
      <c r="Y137" s="23"/>
      <c r="Z137" s="23"/>
      <c r="AA137" s="23"/>
      <c r="AB137" s="23"/>
      <c r="AC137" s="23"/>
    </row>
    <row r="138" spans="1:29" ht="12.3">
      <c r="A138" s="23"/>
      <c r="V138" s="23"/>
      <c r="W138" s="23"/>
      <c r="X138" s="23"/>
      <c r="Y138" s="23"/>
      <c r="Z138" s="23"/>
      <c r="AA138" s="23"/>
      <c r="AB138" s="23"/>
      <c r="AC138" s="23"/>
    </row>
    <row r="139" spans="1:29" ht="12.3">
      <c r="A139" s="23"/>
      <c r="V139" s="23"/>
      <c r="W139" s="23"/>
      <c r="X139" s="23"/>
      <c r="Y139" s="23"/>
      <c r="Z139" s="23"/>
      <c r="AA139" s="23"/>
      <c r="AB139" s="23"/>
      <c r="AC139" s="23"/>
    </row>
    <row r="140" spans="1:29" ht="12.3">
      <c r="A140" s="23"/>
      <c r="V140" s="23"/>
      <c r="W140" s="23"/>
      <c r="X140" s="23"/>
      <c r="Y140" s="23"/>
      <c r="Z140" s="23"/>
      <c r="AA140" s="23"/>
      <c r="AB140" s="23"/>
      <c r="AC140" s="23"/>
    </row>
    <row r="141" spans="1:29" ht="12.3">
      <c r="A141" s="23"/>
      <c r="V141" s="23"/>
      <c r="W141" s="23"/>
      <c r="X141" s="23"/>
      <c r="Y141" s="23"/>
      <c r="Z141" s="23"/>
      <c r="AA141" s="23"/>
      <c r="AB141" s="23"/>
      <c r="AC141" s="23"/>
    </row>
    <row r="142" spans="1:29" ht="12.3">
      <c r="A142" s="23"/>
      <c r="V142" s="23"/>
      <c r="W142" s="23"/>
      <c r="X142" s="23"/>
      <c r="Y142" s="23"/>
      <c r="Z142" s="23"/>
      <c r="AA142" s="23"/>
      <c r="AB142" s="23"/>
      <c r="AC142" s="23"/>
    </row>
    <row r="143" spans="1:29" ht="12.3">
      <c r="A143" s="23"/>
      <c r="V143" s="23"/>
      <c r="W143" s="23"/>
      <c r="X143" s="23"/>
      <c r="Y143" s="23"/>
      <c r="Z143" s="23"/>
      <c r="AA143" s="23"/>
      <c r="AB143" s="23"/>
      <c r="AC143" s="23"/>
    </row>
    <row r="144" spans="1:29" ht="12.3">
      <c r="A144" s="23"/>
      <c r="V144" s="23"/>
      <c r="W144" s="23"/>
      <c r="X144" s="23"/>
      <c r="Y144" s="23"/>
      <c r="Z144" s="23"/>
      <c r="AA144" s="23"/>
      <c r="AB144" s="23"/>
      <c r="AC144" s="23"/>
    </row>
    <row r="145" spans="1:29" ht="12.3">
      <c r="A145" s="23"/>
      <c r="V145" s="23"/>
      <c r="W145" s="23"/>
      <c r="X145" s="23"/>
      <c r="Y145" s="23"/>
      <c r="Z145" s="23"/>
      <c r="AA145" s="23"/>
      <c r="AB145" s="23"/>
      <c r="AC145" s="23"/>
    </row>
    <row r="146" spans="1:29" ht="12.3">
      <c r="A146" s="23"/>
      <c r="V146" s="23"/>
      <c r="W146" s="23"/>
      <c r="X146" s="23"/>
      <c r="Y146" s="23"/>
      <c r="Z146" s="23"/>
      <c r="AA146" s="23"/>
      <c r="AB146" s="23"/>
      <c r="AC146" s="23"/>
    </row>
    <row r="147" spans="1:29" ht="12.3">
      <c r="A147" s="23"/>
      <c r="V147" s="23"/>
      <c r="W147" s="23"/>
      <c r="X147" s="23"/>
      <c r="Y147" s="23"/>
      <c r="Z147" s="23"/>
      <c r="AA147" s="23"/>
      <c r="AB147" s="23"/>
      <c r="AC147" s="23"/>
    </row>
    <row r="148" spans="1:29" ht="12.3">
      <c r="A148" s="23"/>
      <c r="V148" s="23"/>
      <c r="W148" s="23"/>
      <c r="X148" s="23"/>
      <c r="Y148" s="23"/>
      <c r="Z148" s="23"/>
      <c r="AA148" s="23"/>
      <c r="AB148" s="23"/>
      <c r="AC148" s="23"/>
    </row>
    <row r="149" spans="1:29" ht="12.3">
      <c r="A149" s="23"/>
      <c r="V149" s="23"/>
      <c r="W149" s="23"/>
      <c r="X149" s="23"/>
      <c r="Y149" s="23"/>
      <c r="Z149" s="23"/>
      <c r="AA149" s="23"/>
      <c r="AB149" s="23"/>
      <c r="AC149" s="23"/>
    </row>
    <row r="150" spans="1:29" ht="12.3">
      <c r="A150" s="23"/>
      <c r="V150" s="23"/>
      <c r="W150" s="23"/>
      <c r="X150" s="23"/>
      <c r="Y150" s="23"/>
      <c r="Z150" s="23"/>
      <c r="AA150" s="23"/>
      <c r="AB150" s="23"/>
      <c r="AC150" s="23"/>
    </row>
    <row r="151" spans="1:29" ht="12.3">
      <c r="A151" s="23"/>
      <c r="V151" s="23"/>
      <c r="W151" s="23"/>
      <c r="X151" s="23"/>
      <c r="Y151" s="23"/>
      <c r="Z151" s="23"/>
      <c r="AA151" s="23"/>
      <c r="AB151" s="23"/>
      <c r="AC151" s="23"/>
    </row>
    <row r="152" spans="1:29" ht="12.3">
      <c r="A152" s="23"/>
      <c r="V152" s="23"/>
      <c r="W152" s="23"/>
      <c r="X152" s="23"/>
      <c r="Y152" s="23"/>
      <c r="Z152" s="23"/>
      <c r="AA152" s="23"/>
      <c r="AB152" s="23"/>
      <c r="AC152" s="23"/>
    </row>
    <row r="153" spans="1:29" ht="12.3">
      <c r="A153" s="23"/>
      <c r="V153" s="23"/>
      <c r="W153" s="23"/>
      <c r="X153" s="23"/>
      <c r="Y153" s="23"/>
      <c r="Z153" s="23"/>
      <c r="AA153" s="23"/>
      <c r="AB153" s="23"/>
      <c r="AC153" s="23"/>
    </row>
    <row r="154" spans="1:29" ht="12.3">
      <c r="A154" s="23"/>
      <c r="V154" s="23"/>
      <c r="W154" s="23"/>
      <c r="X154" s="23"/>
      <c r="Y154" s="23"/>
      <c r="Z154" s="23"/>
      <c r="AA154" s="23"/>
      <c r="AB154" s="23"/>
      <c r="AC154" s="23"/>
    </row>
    <row r="155" spans="1:29" ht="12.3">
      <c r="A155" s="23"/>
      <c r="V155" s="23"/>
      <c r="W155" s="23"/>
      <c r="X155" s="23"/>
      <c r="Y155" s="23"/>
      <c r="Z155" s="23"/>
      <c r="AA155" s="23"/>
      <c r="AB155" s="23"/>
      <c r="AC155" s="23"/>
    </row>
    <row r="156" spans="1:29" ht="12.3">
      <c r="A156" s="23"/>
      <c r="V156" s="23"/>
      <c r="W156" s="23"/>
      <c r="X156" s="23"/>
      <c r="Y156" s="23"/>
      <c r="Z156" s="23"/>
      <c r="AA156" s="23"/>
      <c r="AB156" s="23"/>
      <c r="AC156" s="23"/>
    </row>
    <row r="157" spans="1:29" ht="12.3">
      <c r="A157" s="23"/>
      <c r="V157" s="23"/>
      <c r="W157" s="23"/>
      <c r="X157" s="23"/>
      <c r="Y157" s="23"/>
      <c r="Z157" s="23"/>
      <c r="AA157" s="23"/>
      <c r="AB157" s="23"/>
      <c r="AC157" s="23"/>
    </row>
    <row r="158" spans="1:29" ht="12.3">
      <c r="A158" s="23"/>
      <c r="V158" s="23"/>
      <c r="W158" s="23"/>
      <c r="X158" s="23"/>
      <c r="Y158" s="23"/>
      <c r="Z158" s="23"/>
      <c r="AA158" s="23"/>
      <c r="AB158" s="23"/>
      <c r="AC158" s="23"/>
    </row>
    <row r="159" spans="1:29" ht="12.3">
      <c r="A159" s="23"/>
      <c r="V159" s="23"/>
      <c r="W159" s="23"/>
      <c r="X159" s="23"/>
      <c r="Y159" s="23"/>
      <c r="Z159" s="23"/>
      <c r="AA159" s="23"/>
      <c r="AB159" s="23"/>
      <c r="AC159" s="23"/>
    </row>
    <row r="160" spans="1:29" ht="12.3">
      <c r="A160" s="23"/>
      <c r="V160" s="23"/>
      <c r="W160" s="23"/>
      <c r="X160" s="23"/>
      <c r="Y160" s="23"/>
      <c r="Z160" s="23"/>
      <c r="AA160" s="23"/>
      <c r="AB160" s="23"/>
      <c r="AC160" s="23"/>
    </row>
    <row r="161" spans="1:29" ht="12.3">
      <c r="A161" s="23"/>
      <c r="V161" s="23"/>
      <c r="W161" s="23"/>
      <c r="X161" s="23"/>
      <c r="Y161" s="23"/>
      <c r="Z161" s="23"/>
      <c r="AA161" s="23"/>
      <c r="AB161" s="23"/>
      <c r="AC161" s="23"/>
    </row>
    <row r="162" spans="1:29" ht="12.3">
      <c r="A162" s="23"/>
      <c r="V162" s="23"/>
      <c r="W162" s="23"/>
      <c r="X162" s="23"/>
      <c r="Y162" s="23"/>
      <c r="Z162" s="23"/>
      <c r="AA162" s="23"/>
      <c r="AB162" s="23"/>
      <c r="AC162" s="23"/>
    </row>
    <row r="163" spans="1:29" ht="12.3">
      <c r="A163" s="23"/>
      <c r="V163" s="23"/>
      <c r="W163" s="23"/>
      <c r="X163" s="23"/>
      <c r="Y163" s="23"/>
      <c r="Z163" s="23"/>
      <c r="AA163" s="23"/>
      <c r="AB163" s="23"/>
      <c r="AC163" s="23"/>
    </row>
    <row r="164" spans="1:29" ht="12.3">
      <c r="A164" s="23"/>
      <c r="V164" s="23"/>
      <c r="W164" s="23"/>
      <c r="X164" s="23"/>
      <c r="Y164" s="23"/>
      <c r="Z164" s="23"/>
      <c r="AA164" s="23"/>
      <c r="AB164" s="23"/>
      <c r="AC164" s="23"/>
    </row>
    <row r="165" spans="1:29" ht="12.3">
      <c r="A165" s="23"/>
      <c r="V165" s="23"/>
      <c r="W165" s="23"/>
      <c r="X165" s="23"/>
      <c r="Y165" s="23"/>
      <c r="Z165" s="23"/>
      <c r="AA165" s="23"/>
      <c r="AB165" s="23"/>
      <c r="AC165" s="23"/>
    </row>
    <row r="166" spans="1:29" ht="12.3">
      <c r="A166" s="23"/>
      <c r="V166" s="23"/>
      <c r="W166" s="23"/>
      <c r="X166" s="23"/>
      <c r="Y166" s="23"/>
      <c r="Z166" s="23"/>
      <c r="AA166" s="23"/>
      <c r="AB166" s="23"/>
      <c r="AC166" s="23"/>
    </row>
    <row r="167" spans="1:29" ht="12.3">
      <c r="A167" s="23"/>
      <c r="V167" s="23"/>
      <c r="W167" s="23"/>
      <c r="X167" s="23"/>
      <c r="Y167" s="23"/>
      <c r="Z167" s="23"/>
      <c r="AA167" s="23"/>
      <c r="AB167" s="23"/>
      <c r="AC167" s="23"/>
    </row>
    <row r="168" spans="1:29" ht="12.3">
      <c r="A168" s="23"/>
      <c r="V168" s="23"/>
      <c r="W168" s="23"/>
      <c r="X168" s="23"/>
      <c r="Y168" s="23"/>
      <c r="Z168" s="23"/>
      <c r="AA168" s="23"/>
      <c r="AB168" s="23"/>
      <c r="AC168" s="23"/>
    </row>
    <row r="169" spans="1:29" ht="12.3">
      <c r="A169" s="23"/>
      <c r="V169" s="23"/>
      <c r="W169" s="23"/>
      <c r="X169" s="23"/>
      <c r="Y169" s="23"/>
      <c r="Z169" s="23"/>
      <c r="AA169" s="23"/>
      <c r="AB169" s="23"/>
      <c r="AC169" s="23"/>
    </row>
    <row r="170" spans="1:29" ht="12.3">
      <c r="A170" s="23"/>
      <c r="V170" s="23"/>
      <c r="W170" s="23"/>
      <c r="X170" s="23"/>
      <c r="Y170" s="23"/>
      <c r="Z170" s="23"/>
      <c r="AA170" s="23"/>
      <c r="AB170" s="23"/>
      <c r="AC170" s="23"/>
    </row>
    <row r="171" spans="1:29" ht="12.3">
      <c r="A171" s="23"/>
      <c r="V171" s="23"/>
      <c r="W171" s="23"/>
      <c r="X171" s="23"/>
      <c r="Y171" s="23"/>
      <c r="Z171" s="23"/>
      <c r="AA171" s="23"/>
      <c r="AB171" s="23"/>
      <c r="AC171" s="23"/>
    </row>
    <row r="172" spans="1:29" ht="12.3">
      <c r="A172" s="23"/>
      <c r="V172" s="23"/>
      <c r="W172" s="23"/>
      <c r="X172" s="23"/>
      <c r="Y172" s="23"/>
      <c r="Z172" s="23"/>
      <c r="AA172" s="23"/>
      <c r="AB172" s="23"/>
      <c r="AC172" s="23"/>
    </row>
    <row r="173" spans="1:29" ht="12.3">
      <c r="A173" s="23"/>
      <c r="V173" s="23"/>
      <c r="W173" s="23"/>
      <c r="X173" s="23"/>
      <c r="Y173" s="23"/>
      <c r="Z173" s="23"/>
      <c r="AA173" s="23"/>
      <c r="AB173" s="23"/>
      <c r="AC173" s="23"/>
    </row>
    <row r="174" spans="1:29" ht="12.3">
      <c r="A174" s="23"/>
      <c r="V174" s="23"/>
      <c r="W174" s="23"/>
      <c r="X174" s="23"/>
      <c r="Y174" s="23"/>
      <c r="Z174" s="23"/>
      <c r="AA174" s="23"/>
      <c r="AB174" s="23"/>
      <c r="AC174" s="23"/>
    </row>
    <row r="175" spans="1:29" ht="12.3">
      <c r="A175" s="23"/>
      <c r="V175" s="23"/>
      <c r="W175" s="23"/>
      <c r="X175" s="23"/>
      <c r="Y175" s="23"/>
      <c r="Z175" s="23"/>
      <c r="AA175" s="23"/>
      <c r="AB175" s="23"/>
      <c r="AC175" s="23"/>
    </row>
    <row r="176" spans="1:29" ht="12.3">
      <c r="A176" s="23"/>
      <c r="V176" s="23"/>
      <c r="W176" s="23"/>
      <c r="X176" s="23"/>
      <c r="Y176" s="23"/>
      <c r="Z176" s="23"/>
      <c r="AA176" s="23"/>
      <c r="AB176" s="23"/>
      <c r="AC176" s="23"/>
    </row>
    <row r="177" spans="1:29" ht="12.3">
      <c r="A177" s="23"/>
      <c r="V177" s="23"/>
      <c r="W177" s="23"/>
      <c r="X177" s="23"/>
      <c r="Y177" s="23"/>
      <c r="Z177" s="23"/>
      <c r="AA177" s="23"/>
      <c r="AB177" s="23"/>
      <c r="AC177" s="23"/>
    </row>
    <row r="178" spans="1:29" ht="12.3">
      <c r="A178" s="23"/>
      <c r="V178" s="23"/>
      <c r="W178" s="23"/>
      <c r="X178" s="23"/>
      <c r="Y178" s="23"/>
      <c r="Z178" s="23"/>
      <c r="AA178" s="23"/>
      <c r="AB178" s="23"/>
      <c r="AC178" s="23"/>
    </row>
    <row r="179" spans="1:29" ht="12.3">
      <c r="A179" s="23"/>
      <c r="V179" s="23"/>
      <c r="W179" s="23"/>
      <c r="X179" s="23"/>
      <c r="Y179" s="23"/>
      <c r="Z179" s="23"/>
      <c r="AA179" s="23"/>
      <c r="AB179" s="23"/>
      <c r="AC179" s="23"/>
    </row>
    <row r="180" spans="1:29" ht="12.3">
      <c r="A180" s="23"/>
      <c r="V180" s="23"/>
      <c r="W180" s="23"/>
      <c r="X180" s="23"/>
      <c r="Y180" s="23"/>
      <c r="Z180" s="23"/>
      <c r="AA180" s="23"/>
      <c r="AB180" s="23"/>
      <c r="AC180" s="23"/>
    </row>
    <row r="181" spans="1:29" ht="12.3">
      <c r="A181" s="23"/>
      <c r="V181" s="23"/>
      <c r="W181" s="23"/>
      <c r="X181" s="23"/>
      <c r="Y181" s="23"/>
      <c r="Z181" s="23"/>
      <c r="AA181" s="23"/>
      <c r="AB181" s="23"/>
      <c r="AC181" s="23"/>
    </row>
    <row r="182" spans="1:29" ht="12.3">
      <c r="A182" s="23"/>
      <c r="V182" s="23"/>
      <c r="W182" s="23"/>
      <c r="X182" s="23"/>
      <c r="Y182" s="23"/>
      <c r="Z182" s="23"/>
      <c r="AA182" s="23"/>
      <c r="AB182" s="23"/>
      <c r="AC182" s="23"/>
    </row>
    <row r="183" spans="1:29" ht="12.3">
      <c r="A183" s="23"/>
      <c r="V183" s="23"/>
      <c r="W183" s="23"/>
      <c r="X183" s="23"/>
      <c r="Y183" s="23"/>
      <c r="Z183" s="23"/>
      <c r="AA183" s="23"/>
      <c r="AB183" s="23"/>
      <c r="AC183" s="23"/>
    </row>
    <row r="184" spans="1:29" ht="12.3">
      <c r="A184" s="23"/>
      <c r="V184" s="23"/>
      <c r="W184" s="23"/>
      <c r="X184" s="23"/>
      <c r="Y184" s="23"/>
      <c r="Z184" s="23"/>
      <c r="AA184" s="23"/>
      <c r="AB184" s="23"/>
      <c r="AC184" s="23"/>
    </row>
    <row r="185" spans="1:29" ht="12.3">
      <c r="A185" s="23"/>
      <c r="V185" s="23"/>
      <c r="W185" s="23"/>
      <c r="X185" s="23"/>
      <c r="Y185" s="23"/>
      <c r="Z185" s="23"/>
      <c r="AA185" s="23"/>
      <c r="AB185" s="23"/>
      <c r="AC185" s="23"/>
    </row>
    <row r="186" spans="1:29" ht="12.3">
      <c r="A186" s="23"/>
      <c r="V186" s="23"/>
      <c r="W186" s="23"/>
      <c r="X186" s="23"/>
      <c r="Y186" s="23"/>
      <c r="Z186" s="23"/>
      <c r="AA186" s="23"/>
      <c r="AB186" s="23"/>
      <c r="AC186" s="23"/>
    </row>
    <row r="187" spans="1:29" ht="12.3">
      <c r="A187" s="23"/>
      <c r="V187" s="23"/>
      <c r="W187" s="23"/>
      <c r="X187" s="23"/>
      <c r="Y187" s="23"/>
      <c r="Z187" s="23"/>
      <c r="AA187" s="23"/>
      <c r="AB187" s="23"/>
      <c r="AC187" s="23"/>
    </row>
    <row r="188" spans="1:29" ht="12.3">
      <c r="A188" s="23"/>
      <c r="V188" s="23"/>
      <c r="W188" s="23"/>
      <c r="X188" s="23"/>
      <c r="Y188" s="23"/>
      <c r="Z188" s="23"/>
      <c r="AA188" s="23"/>
      <c r="AB188" s="23"/>
      <c r="AC188" s="23"/>
    </row>
    <row r="189" spans="1:29" ht="12.3">
      <c r="A189" s="23"/>
      <c r="V189" s="23"/>
      <c r="W189" s="23"/>
      <c r="X189" s="23"/>
      <c r="Y189" s="23"/>
      <c r="Z189" s="23"/>
      <c r="AA189" s="23"/>
      <c r="AB189" s="23"/>
      <c r="AC189" s="23"/>
    </row>
    <row r="190" spans="1:29" ht="12.3">
      <c r="A190" s="23"/>
      <c r="V190" s="23"/>
      <c r="W190" s="23"/>
      <c r="X190" s="23"/>
      <c r="Y190" s="23"/>
      <c r="Z190" s="23"/>
      <c r="AA190" s="23"/>
      <c r="AB190" s="23"/>
      <c r="AC190" s="23"/>
    </row>
    <row r="191" spans="1:29" ht="12.3">
      <c r="A191" s="23"/>
      <c r="V191" s="23"/>
      <c r="W191" s="23"/>
      <c r="X191" s="23"/>
      <c r="Y191" s="23"/>
      <c r="Z191" s="23"/>
      <c r="AA191" s="23"/>
      <c r="AB191" s="23"/>
      <c r="AC191" s="23"/>
    </row>
    <row r="192" spans="1:29" ht="12.3">
      <c r="A192" s="23"/>
      <c r="V192" s="23"/>
      <c r="W192" s="23"/>
      <c r="X192" s="23"/>
      <c r="Y192" s="23"/>
      <c r="Z192" s="23"/>
      <c r="AA192" s="23"/>
      <c r="AB192" s="23"/>
      <c r="AC192" s="23"/>
    </row>
    <row r="193" spans="1:29" ht="12.3">
      <c r="A193" s="23"/>
      <c r="V193" s="23"/>
      <c r="W193" s="23"/>
      <c r="X193" s="23"/>
      <c r="Y193" s="23"/>
      <c r="Z193" s="23"/>
      <c r="AA193" s="23"/>
      <c r="AB193" s="23"/>
      <c r="AC193" s="23"/>
    </row>
    <row r="194" spans="1:29" ht="12.3">
      <c r="A194" s="23"/>
      <c r="V194" s="23"/>
      <c r="W194" s="23"/>
      <c r="X194" s="23"/>
      <c r="Y194" s="23"/>
      <c r="Z194" s="23"/>
      <c r="AA194" s="23"/>
      <c r="AB194" s="23"/>
      <c r="AC194" s="23"/>
    </row>
    <row r="195" spans="1:29" ht="12.3">
      <c r="A195" s="23"/>
      <c r="V195" s="23"/>
      <c r="W195" s="23"/>
      <c r="X195" s="23"/>
      <c r="Y195" s="23"/>
      <c r="Z195" s="23"/>
      <c r="AA195" s="23"/>
      <c r="AB195" s="23"/>
      <c r="AC195" s="23"/>
    </row>
    <row r="196" spans="1:29" ht="12.3">
      <c r="A196" s="23"/>
      <c r="V196" s="23"/>
      <c r="W196" s="23"/>
      <c r="X196" s="23"/>
      <c r="Y196" s="23"/>
      <c r="Z196" s="23"/>
      <c r="AA196" s="23"/>
      <c r="AB196" s="23"/>
      <c r="AC196" s="23"/>
    </row>
    <row r="197" spans="1:29" ht="12.3">
      <c r="A197" s="23"/>
      <c r="V197" s="23"/>
      <c r="W197" s="23"/>
      <c r="X197" s="23"/>
      <c r="Y197" s="23"/>
      <c r="Z197" s="23"/>
      <c r="AA197" s="23"/>
      <c r="AB197" s="23"/>
      <c r="AC197" s="23"/>
    </row>
    <row r="198" spans="1:29" ht="12.3">
      <c r="A198" s="23"/>
      <c r="V198" s="23"/>
      <c r="W198" s="23"/>
      <c r="X198" s="23"/>
      <c r="Y198" s="23"/>
      <c r="Z198" s="23"/>
      <c r="AA198" s="23"/>
      <c r="AB198" s="23"/>
      <c r="AC198" s="23"/>
    </row>
    <row r="199" spans="1:29" ht="12.3">
      <c r="A199" s="23"/>
      <c r="V199" s="23"/>
      <c r="W199" s="23"/>
      <c r="X199" s="23"/>
      <c r="Y199" s="23"/>
      <c r="Z199" s="23"/>
      <c r="AA199" s="23"/>
      <c r="AB199" s="23"/>
      <c r="AC199" s="23"/>
    </row>
    <row r="200" spans="1:29" ht="12.3">
      <c r="A200" s="23"/>
      <c r="V200" s="23"/>
      <c r="W200" s="23"/>
      <c r="X200" s="23"/>
      <c r="Y200" s="23"/>
      <c r="Z200" s="23"/>
      <c r="AA200" s="23"/>
      <c r="AB200" s="23"/>
      <c r="AC200" s="23"/>
    </row>
    <row r="201" spans="1:29" ht="12.3">
      <c r="A201" s="23"/>
      <c r="V201" s="23"/>
      <c r="W201" s="23"/>
      <c r="X201" s="23"/>
      <c r="Y201" s="23"/>
      <c r="Z201" s="23"/>
      <c r="AA201" s="23"/>
      <c r="AB201" s="23"/>
      <c r="AC201" s="23"/>
    </row>
    <row r="202" spans="1:29" ht="12.3">
      <c r="A202" s="23"/>
      <c r="V202" s="23"/>
      <c r="W202" s="23"/>
      <c r="X202" s="23"/>
      <c r="Y202" s="23"/>
      <c r="Z202" s="23"/>
      <c r="AA202" s="23"/>
      <c r="AB202" s="23"/>
      <c r="AC202" s="23"/>
    </row>
    <row r="203" spans="1:29" ht="12.3">
      <c r="A203" s="23"/>
      <c r="V203" s="23"/>
      <c r="W203" s="23"/>
      <c r="X203" s="23"/>
      <c r="Y203" s="23"/>
      <c r="Z203" s="23"/>
      <c r="AA203" s="23"/>
      <c r="AB203" s="23"/>
      <c r="AC203" s="23"/>
    </row>
    <row r="204" spans="1:29" ht="12.3">
      <c r="A204" s="23"/>
      <c r="V204" s="23"/>
      <c r="W204" s="23"/>
      <c r="X204" s="23"/>
      <c r="Y204" s="23"/>
      <c r="Z204" s="23"/>
      <c r="AA204" s="23"/>
      <c r="AB204" s="23"/>
      <c r="AC204" s="23"/>
    </row>
    <row r="205" spans="1:29" ht="12.3">
      <c r="A205" s="23"/>
      <c r="V205" s="23"/>
      <c r="W205" s="23"/>
      <c r="X205" s="23"/>
      <c r="Y205" s="23"/>
      <c r="Z205" s="23"/>
      <c r="AA205" s="23"/>
      <c r="AB205" s="23"/>
      <c r="AC205" s="23"/>
    </row>
    <row r="206" spans="1:29" ht="12.3">
      <c r="A206" s="23"/>
      <c r="V206" s="23"/>
      <c r="W206" s="23"/>
      <c r="X206" s="23"/>
      <c r="Y206" s="23"/>
      <c r="Z206" s="23"/>
      <c r="AA206" s="23"/>
      <c r="AB206" s="23"/>
      <c r="AC206" s="23"/>
    </row>
    <row r="207" spans="1:29" ht="12.3">
      <c r="A207" s="23"/>
      <c r="V207" s="23"/>
      <c r="W207" s="23"/>
      <c r="X207" s="23"/>
      <c r="Y207" s="23"/>
      <c r="Z207" s="23"/>
      <c r="AA207" s="23"/>
      <c r="AB207" s="23"/>
      <c r="AC207" s="23"/>
    </row>
    <row r="208" spans="1:29" ht="12.3">
      <c r="A208" s="23"/>
      <c r="V208" s="23"/>
      <c r="W208" s="23"/>
      <c r="X208" s="23"/>
      <c r="Y208" s="23"/>
      <c r="Z208" s="23"/>
      <c r="AA208" s="23"/>
      <c r="AB208" s="23"/>
      <c r="AC208" s="23"/>
    </row>
    <row r="209" spans="1:29" ht="12.3">
      <c r="A209" s="23"/>
      <c r="V209" s="23"/>
      <c r="W209" s="23"/>
      <c r="X209" s="23"/>
      <c r="Y209" s="23"/>
      <c r="Z209" s="23"/>
      <c r="AA209" s="23"/>
      <c r="AB209" s="23"/>
      <c r="AC209" s="23"/>
    </row>
    <row r="210" spans="1:29" ht="12.3">
      <c r="A210" s="23"/>
      <c r="V210" s="23"/>
      <c r="W210" s="23"/>
      <c r="X210" s="23"/>
      <c r="Y210" s="23"/>
      <c r="Z210" s="23"/>
      <c r="AA210" s="23"/>
      <c r="AB210" s="23"/>
      <c r="AC210" s="23"/>
    </row>
    <row r="211" spans="1:29" ht="12.3">
      <c r="A211" s="23"/>
      <c r="V211" s="23"/>
      <c r="W211" s="23"/>
      <c r="X211" s="23"/>
      <c r="Y211" s="23"/>
      <c r="Z211" s="23"/>
      <c r="AA211" s="23"/>
      <c r="AB211" s="23"/>
      <c r="AC211" s="23"/>
    </row>
    <row r="212" spans="1:29" ht="12.3">
      <c r="A212" s="23"/>
      <c r="V212" s="23"/>
      <c r="W212" s="23"/>
      <c r="X212" s="23"/>
      <c r="Y212" s="23"/>
      <c r="Z212" s="23"/>
      <c r="AA212" s="23"/>
      <c r="AB212" s="23"/>
      <c r="AC212" s="23"/>
    </row>
    <row r="213" spans="1:29" ht="12.3">
      <c r="A213" s="23"/>
      <c r="V213" s="23"/>
      <c r="W213" s="23"/>
      <c r="X213" s="23"/>
      <c r="Y213" s="23"/>
      <c r="Z213" s="23"/>
      <c r="AA213" s="23"/>
      <c r="AB213" s="23"/>
      <c r="AC213" s="23"/>
    </row>
    <row r="214" spans="1:29" ht="12.3">
      <c r="A214" s="23"/>
      <c r="V214" s="23"/>
      <c r="W214" s="23"/>
      <c r="X214" s="23"/>
      <c r="Y214" s="23"/>
      <c r="Z214" s="23"/>
      <c r="AA214" s="23"/>
      <c r="AB214" s="23"/>
      <c r="AC214" s="23"/>
    </row>
    <row r="215" spans="1:29" ht="12.3">
      <c r="A215" s="23"/>
      <c r="V215" s="23"/>
      <c r="W215" s="23"/>
      <c r="X215" s="23"/>
      <c r="Y215" s="23"/>
      <c r="Z215" s="23"/>
      <c r="AA215" s="23"/>
      <c r="AB215" s="23"/>
      <c r="AC215" s="23"/>
    </row>
    <row r="216" spans="1:29" ht="12.3">
      <c r="A216" s="23"/>
      <c r="V216" s="23"/>
      <c r="W216" s="23"/>
      <c r="X216" s="23"/>
      <c r="Y216" s="23"/>
      <c r="Z216" s="23"/>
      <c r="AA216" s="23"/>
      <c r="AB216" s="23"/>
      <c r="AC216" s="23"/>
    </row>
    <row r="217" spans="1:29" ht="12.3">
      <c r="A217" s="23"/>
      <c r="V217" s="23"/>
      <c r="W217" s="23"/>
      <c r="X217" s="23"/>
      <c r="Y217" s="23"/>
      <c r="Z217" s="23"/>
      <c r="AA217" s="23"/>
      <c r="AB217" s="23"/>
      <c r="AC217" s="23"/>
    </row>
    <row r="218" spans="1:29" ht="12.3">
      <c r="A218" s="23"/>
      <c r="V218" s="23"/>
      <c r="W218" s="23"/>
      <c r="X218" s="23"/>
      <c r="Y218" s="23"/>
      <c r="Z218" s="23"/>
      <c r="AA218" s="23"/>
      <c r="AB218" s="23"/>
      <c r="AC218" s="23"/>
    </row>
    <row r="219" spans="1:29" ht="12.3">
      <c r="A219" s="23"/>
      <c r="V219" s="23"/>
      <c r="W219" s="23"/>
      <c r="X219" s="23"/>
      <c r="Y219" s="23"/>
      <c r="Z219" s="23"/>
      <c r="AA219" s="23"/>
      <c r="AB219" s="23"/>
      <c r="AC219" s="23"/>
    </row>
    <row r="220" spans="1:29" ht="12.3">
      <c r="A220" s="23"/>
      <c r="V220" s="23"/>
      <c r="W220" s="23"/>
      <c r="X220" s="23"/>
      <c r="Y220" s="23"/>
      <c r="Z220" s="23"/>
      <c r="AA220" s="23"/>
      <c r="AB220" s="23"/>
      <c r="AC220" s="23"/>
    </row>
    <row r="221" spans="1:29" ht="12.3">
      <c r="A221" s="23"/>
      <c r="V221" s="23"/>
      <c r="W221" s="23"/>
      <c r="X221" s="23"/>
      <c r="Y221" s="23"/>
      <c r="Z221" s="23"/>
      <c r="AA221" s="23"/>
      <c r="AB221" s="23"/>
      <c r="AC221" s="23"/>
    </row>
    <row r="222" spans="1:29" ht="12.3">
      <c r="A222" s="23"/>
      <c r="V222" s="23"/>
      <c r="W222" s="23"/>
      <c r="X222" s="23"/>
      <c r="Y222" s="23"/>
      <c r="Z222" s="23"/>
      <c r="AA222" s="23"/>
      <c r="AB222" s="23"/>
      <c r="AC222" s="23"/>
    </row>
    <row r="223" spans="1:29" ht="12.3">
      <c r="A223" s="23"/>
      <c r="V223" s="23"/>
      <c r="W223" s="23"/>
      <c r="X223" s="23"/>
      <c r="Y223" s="23"/>
      <c r="Z223" s="23"/>
      <c r="AA223" s="23"/>
      <c r="AB223" s="23"/>
      <c r="AC223" s="23"/>
    </row>
    <row r="224" spans="1:29" ht="12.3">
      <c r="A224" s="23"/>
      <c r="V224" s="23"/>
      <c r="W224" s="23"/>
      <c r="X224" s="23"/>
      <c r="Y224" s="23"/>
      <c r="Z224" s="23"/>
      <c r="AA224" s="23"/>
      <c r="AB224" s="23"/>
      <c r="AC224" s="23"/>
    </row>
    <row r="225" spans="1:29" ht="12.3">
      <c r="A225" s="23"/>
      <c r="V225" s="23"/>
      <c r="W225" s="23"/>
      <c r="X225" s="23"/>
      <c r="Y225" s="23"/>
      <c r="Z225" s="23"/>
      <c r="AA225" s="23"/>
      <c r="AB225" s="23"/>
      <c r="AC225" s="23"/>
    </row>
    <row r="226" spans="1:29" ht="12.3">
      <c r="A226" s="23"/>
      <c r="V226" s="23"/>
      <c r="W226" s="23"/>
      <c r="X226" s="23"/>
      <c r="Y226" s="23"/>
      <c r="Z226" s="23"/>
      <c r="AA226" s="23"/>
      <c r="AB226" s="23"/>
      <c r="AC226" s="23"/>
    </row>
    <row r="227" spans="1:29" ht="12.3">
      <c r="A227" s="23"/>
      <c r="V227" s="23"/>
      <c r="W227" s="23"/>
      <c r="X227" s="23"/>
      <c r="Y227" s="23"/>
      <c r="Z227" s="23"/>
      <c r="AA227" s="23"/>
      <c r="AB227" s="23"/>
      <c r="AC227" s="23"/>
    </row>
    <row r="228" spans="1:29" ht="12.3">
      <c r="A228" s="23"/>
      <c r="V228" s="23"/>
      <c r="W228" s="23"/>
      <c r="X228" s="23"/>
      <c r="Y228" s="23"/>
      <c r="Z228" s="23"/>
      <c r="AA228" s="23"/>
      <c r="AB228" s="23"/>
      <c r="AC228" s="23"/>
    </row>
    <row r="229" spans="1:29" ht="12.3">
      <c r="A229" s="23"/>
      <c r="V229" s="23"/>
      <c r="W229" s="23"/>
      <c r="X229" s="23"/>
      <c r="Y229" s="23"/>
      <c r="Z229" s="23"/>
      <c r="AA229" s="23"/>
      <c r="AB229" s="23"/>
      <c r="AC229" s="23"/>
    </row>
    <row r="230" spans="1:29" ht="12.3">
      <c r="A230" s="23"/>
      <c r="V230" s="23"/>
      <c r="W230" s="23"/>
      <c r="X230" s="23"/>
      <c r="Y230" s="23"/>
      <c r="Z230" s="23"/>
      <c r="AA230" s="23"/>
      <c r="AB230" s="23"/>
      <c r="AC230" s="23"/>
    </row>
    <row r="231" spans="1:29" ht="12.3">
      <c r="A231" s="23"/>
      <c r="V231" s="23"/>
      <c r="W231" s="23"/>
      <c r="X231" s="23"/>
      <c r="Y231" s="23"/>
      <c r="Z231" s="23"/>
      <c r="AA231" s="23"/>
      <c r="AB231" s="23"/>
      <c r="AC231" s="23"/>
    </row>
    <row r="232" spans="1:29" ht="12.3">
      <c r="A232" s="23"/>
      <c r="V232" s="23"/>
      <c r="W232" s="23"/>
      <c r="X232" s="23"/>
      <c r="Y232" s="23"/>
      <c r="Z232" s="23"/>
      <c r="AA232" s="23"/>
      <c r="AB232" s="23"/>
      <c r="AC232" s="23"/>
    </row>
    <row r="233" spans="1:29" ht="12.3">
      <c r="A233" s="23"/>
      <c r="V233" s="23"/>
      <c r="W233" s="23"/>
      <c r="X233" s="23"/>
      <c r="Y233" s="23"/>
      <c r="Z233" s="23"/>
      <c r="AA233" s="23"/>
      <c r="AB233" s="23"/>
      <c r="AC233" s="23"/>
    </row>
    <row r="234" spans="1:29" ht="12.3">
      <c r="A234" s="23"/>
      <c r="V234" s="23"/>
      <c r="W234" s="23"/>
      <c r="X234" s="23"/>
      <c r="Y234" s="23"/>
      <c r="Z234" s="23"/>
      <c r="AA234" s="23"/>
      <c r="AB234" s="23"/>
      <c r="AC234" s="23"/>
    </row>
    <row r="235" spans="1:29" ht="12.3">
      <c r="A235" s="23"/>
      <c r="V235" s="23"/>
      <c r="W235" s="23"/>
      <c r="X235" s="23"/>
      <c r="Y235" s="23"/>
      <c r="Z235" s="23"/>
      <c r="AA235" s="23"/>
      <c r="AB235" s="23"/>
      <c r="AC235" s="23"/>
    </row>
    <row r="236" spans="1:29" ht="12.3">
      <c r="A236" s="23"/>
      <c r="V236" s="23"/>
      <c r="W236" s="23"/>
      <c r="X236" s="23"/>
      <c r="Y236" s="23"/>
      <c r="Z236" s="23"/>
      <c r="AA236" s="23"/>
      <c r="AB236" s="23"/>
      <c r="AC236" s="23"/>
    </row>
    <row r="237" spans="1:29" ht="12.3">
      <c r="A237" s="23"/>
      <c r="V237" s="23"/>
      <c r="W237" s="23"/>
      <c r="X237" s="23"/>
      <c r="Y237" s="23"/>
      <c r="Z237" s="23"/>
      <c r="AA237" s="23"/>
      <c r="AB237" s="23"/>
      <c r="AC237" s="23"/>
    </row>
    <row r="238" spans="1:29" ht="12.3">
      <c r="A238" s="23"/>
      <c r="V238" s="23"/>
      <c r="W238" s="23"/>
      <c r="X238" s="23"/>
      <c r="Y238" s="23"/>
      <c r="Z238" s="23"/>
      <c r="AA238" s="23"/>
      <c r="AB238" s="23"/>
      <c r="AC238" s="23"/>
    </row>
    <row r="239" spans="1:29" ht="12.3">
      <c r="A239" s="23"/>
      <c r="V239" s="23"/>
      <c r="W239" s="23"/>
      <c r="X239" s="23"/>
      <c r="Y239" s="23"/>
      <c r="Z239" s="23"/>
      <c r="AA239" s="23"/>
      <c r="AB239" s="23"/>
      <c r="AC239" s="23"/>
    </row>
    <row r="240" spans="1:29" ht="12.3">
      <c r="A240" s="23"/>
      <c r="V240" s="23"/>
      <c r="W240" s="23"/>
      <c r="X240" s="23"/>
      <c r="Y240" s="23"/>
      <c r="Z240" s="23"/>
      <c r="AA240" s="23"/>
      <c r="AB240" s="23"/>
      <c r="AC240" s="23"/>
    </row>
    <row r="241" spans="1:29" ht="12.3">
      <c r="A241" s="23"/>
      <c r="V241" s="23"/>
      <c r="W241" s="23"/>
      <c r="X241" s="23"/>
      <c r="Y241" s="23"/>
      <c r="Z241" s="23"/>
      <c r="AA241" s="23"/>
      <c r="AB241" s="23"/>
      <c r="AC241" s="23"/>
    </row>
    <row r="242" spans="1:29" ht="12.3">
      <c r="A242" s="23"/>
      <c r="V242" s="23"/>
      <c r="W242" s="23"/>
      <c r="X242" s="23"/>
      <c r="Y242" s="23"/>
      <c r="Z242" s="23"/>
      <c r="AA242" s="23"/>
      <c r="AB242" s="23"/>
      <c r="AC242" s="23"/>
    </row>
    <row r="243" spans="1:29" ht="12.3">
      <c r="A243" s="23"/>
      <c r="V243" s="23"/>
      <c r="W243" s="23"/>
      <c r="X243" s="23"/>
      <c r="Y243" s="23"/>
      <c r="Z243" s="23"/>
      <c r="AA243" s="23"/>
      <c r="AB243" s="23"/>
      <c r="AC243" s="23"/>
    </row>
    <row r="244" spans="1:29" ht="12.3">
      <c r="A244" s="23"/>
      <c r="V244" s="23"/>
      <c r="W244" s="23"/>
      <c r="X244" s="23"/>
      <c r="Y244" s="23"/>
      <c r="Z244" s="23"/>
      <c r="AA244" s="23"/>
      <c r="AB244" s="23"/>
      <c r="AC244" s="23"/>
    </row>
    <row r="245" spans="1:29" ht="12.3">
      <c r="A245" s="23"/>
      <c r="V245" s="23"/>
      <c r="W245" s="23"/>
      <c r="X245" s="23"/>
      <c r="Y245" s="23"/>
      <c r="Z245" s="23"/>
      <c r="AA245" s="23"/>
      <c r="AB245" s="23"/>
      <c r="AC245" s="23"/>
    </row>
    <row r="246" spans="1:29" ht="12.3">
      <c r="A246" s="23"/>
      <c r="V246" s="23"/>
      <c r="W246" s="23"/>
      <c r="X246" s="23"/>
      <c r="Y246" s="23"/>
      <c r="Z246" s="23"/>
      <c r="AA246" s="23"/>
      <c r="AB246" s="23"/>
      <c r="AC246" s="23"/>
    </row>
    <row r="247" spans="1:29" ht="12.3">
      <c r="A247" s="23"/>
      <c r="V247" s="23"/>
      <c r="W247" s="23"/>
      <c r="X247" s="23"/>
      <c r="Y247" s="23"/>
      <c r="Z247" s="23"/>
      <c r="AA247" s="23"/>
      <c r="AB247" s="23"/>
      <c r="AC247" s="23"/>
    </row>
    <row r="248" spans="1:29" ht="12.3">
      <c r="A248" s="23"/>
      <c r="V248" s="23"/>
      <c r="W248" s="23"/>
      <c r="X248" s="23"/>
      <c r="Y248" s="23"/>
      <c r="Z248" s="23"/>
      <c r="AA248" s="23"/>
      <c r="AB248" s="23"/>
      <c r="AC248" s="23"/>
    </row>
    <row r="249" spans="1:29" ht="12.3">
      <c r="A249" s="23"/>
      <c r="V249" s="23"/>
      <c r="W249" s="23"/>
      <c r="X249" s="23"/>
      <c r="Y249" s="23"/>
      <c r="Z249" s="23"/>
      <c r="AA249" s="23"/>
      <c r="AB249" s="23"/>
      <c r="AC249" s="23"/>
    </row>
    <row r="250" spans="1:29" ht="12.3">
      <c r="A250" s="23"/>
      <c r="V250" s="23"/>
      <c r="W250" s="23"/>
      <c r="X250" s="23"/>
      <c r="Y250" s="23"/>
      <c r="Z250" s="23"/>
      <c r="AA250" s="23"/>
      <c r="AB250" s="23"/>
      <c r="AC250" s="23"/>
    </row>
    <row r="251" spans="1:29" ht="12.3">
      <c r="A251" s="23"/>
      <c r="V251" s="23"/>
      <c r="W251" s="23"/>
      <c r="X251" s="23"/>
      <c r="Y251" s="23"/>
      <c r="Z251" s="23"/>
      <c r="AA251" s="23"/>
      <c r="AB251" s="23"/>
      <c r="AC251" s="23"/>
    </row>
    <row r="252" spans="1:29" ht="12.3">
      <c r="A252" s="23"/>
      <c r="V252" s="23"/>
      <c r="W252" s="23"/>
      <c r="X252" s="23"/>
      <c r="Y252" s="23"/>
      <c r="Z252" s="23"/>
      <c r="AA252" s="23"/>
      <c r="AB252" s="23"/>
      <c r="AC252" s="23"/>
    </row>
    <row r="253" spans="1:29" ht="12.3">
      <c r="A253" s="23"/>
      <c r="V253" s="23"/>
      <c r="W253" s="23"/>
      <c r="X253" s="23"/>
      <c r="Y253" s="23"/>
      <c r="Z253" s="23"/>
      <c r="AA253" s="23"/>
      <c r="AB253" s="23"/>
      <c r="AC253" s="23"/>
    </row>
    <row r="254" spans="1:29" ht="12.3">
      <c r="A254" s="23"/>
      <c r="V254" s="23"/>
      <c r="W254" s="23"/>
      <c r="X254" s="23"/>
      <c r="Y254" s="23"/>
      <c r="Z254" s="23"/>
      <c r="AA254" s="23"/>
      <c r="AB254" s="23"/>
      <c r="AC254" s="23"/>
    </row>
    <row r="255" spans="1:29" ht="12.3">
      <c r="A255" s="23"/>
      <c r="V255" s="23"/>
      <c r="W255" s="23"/>
      <c r="X255" s="23"/>
      <c r="Y255" s="23"/>
      <c r="Z255" s="23"/>
      <c r="AA255" s="23"/>
      <c r="AB255" s="23"/>
      <c r="AC255" s="23"/>
    </row>
    <row r="256" spans="1:29" ht="12.3">
      <c r="A256" s="23"/>
      <c r="V256" s="23"/>
      <c r="W256" s="23"/>
      <c r="X256" s="23"/>
      <c r="Y256" s="23"/>
      <c r="Z256" s="23"/>
      <c r="AA256" s="23"/>
      <c r="AB256" s="23"/>
      <c r="AC256" s="23"/>
    </row>
    <row r="257" spans="1:29" ht="12.3">
      <c r="A257" s="23"/>
      <c r="V257" s="23"/>
      <c r="W257" s="23"/>
      <c r="X257" s="23"/>
      <c r="Y257" s="23"/>
      <c r="Z257" s="23"/>
      <c r="AA257" s="23"/>
      <c r="AB257" s="23"/>
      <c r="AC257" s="23"/>
    </row>
    <row r="258" spans="1:29" ht="12.3">
      <c r="A258" s="23"/>
      <c r="V258" s="23"/>
      <c r="W258" s="23"/>
      <c r="X258" s="23"/>
      <c r="Y258" s="23"/>
      <c r="Z258" s="23"/>
      <c r="AA258" s="23"/>
      <c r="AB258" s="23"/>
      <c r="AC258" s="23"/>
    </row>
    <row r="259" spans="1:29" ht="12.3">
      <c r="A259" s="23"/>
      <c r="V259" s="23"/>
      <c r="W259" s="23"/>
      <c r="X259" s="23"/>
      <c r="Y259" s="23"/>
      <c r="Z259" s="23"/>
      <c r="AA259" s="23"/>
      <c r="AB259" s="23"/>
      <c r="AC259" s="23"/>
    </row>
    <row r="260" spans="1:29" ht="12.3">
      <c r="A260" s="23"/>
      <c r="V260" s="23"/>
      <c r="W260" s="23"/>
      <c r="X260" s="23"/>
      <c r="Y260" s="23"/>
      <c r="Z260" s="23"/>
      <c r="AA260" s="23"/>
      <c r="AB260" s="23"/>
      <c r="AC260" s="23"/>
    </row>
    <row r="261" spans="1:29" ht="12.3">
      <c r="A261" s="23"/>
      <c r="V261" s="23"/>
      <c r="W261" s="23"/>
      <c r="X261" s="23"/>
      <c r="Y261" s="23"/>
      <c r="Z261" s="23"/>
      <c r="AA261" s="23"/>
      <c r="AB261" s="23"/>
      <c r="AC261" s="23"/>
    </row>
    <row r="262" spans="1:29" ht="12.3">
      <c r="A262" s="23"/>
      <c r="V262" s="23"/>
      <c r="W262" s="23"/>
      <c r="X262" s="23"/>
      <c r="Y262" s="23"/>
      <c r="Z262" s="23"/>
      <c r="AA262" s="23"/>
      <c r="AB262" s="23"/>
      <c r="AC262" s="23"/>
    </row>
    <row r="263" spans="1:29" ht="12.3">
      <c r="A263" s="23"/>
      <c r="V263" s="23"/>
      <c r="W263" s="23"/>
      <c r="X263" s="23"/>
      <c r="Y263" s="23"/>
      <c r="Z263" s="23"/>
      <c r="AA263" s="23"/>
      <c r="AB263" s="23"/>
      <c r="AC263" s="23"/>
    </row>
    <row r="264" spans="1:29" ht="12.3">
      <c r="A264" s="23"/>
      <c r="V264" s="23"/>
      <c r="W264" s="23"/>
      <c r="X264" s="23"/>
      <c r="Y264" s="23"/>
      <c r="Z264" s="23"/>
      <c r="AA264" s="23"/>
      <c r="AB264" s="23"/>
      <c r="AC264" s="23"/>
    </row>
    <row r="265" spans="1:29" ht="12.3">
      <c r="A265" s="23"/>
      <c r="V265" s="23"/>
      <c r="W265" s="23"/>
      <c r="X265" s="23"/>
      <c r="Y265" s="23"/>
      <c r="Z265" s="23"/>
      <c r="AA265" s="23"/>
      <c r="AB265" s="23"/>
      <c r="AC265" s="23"/>
    </row>
    <row r="266" spans="1:29" ht="12.3">
      <c r="A266" s="23"/>
      <c r="V266" s="23"/>
      <c r="W266" s="23"/>
      <c r="X266" s="23"/>
      <c r="Y266" s="23"/>
      <c r="Z266" s="23"/>
      <c r="AA266" s="23"/>
      <c r="AB266" s="23"/>
      <c r="AC266" s="23"/>
    </row>
    <row r="267" spans="1:29" ht="12.3">
      <c r="A267" s="23"/>
      <c r="V267" s="23"/>
      <c r="W267" s="23"/>
      <c r="X267" s="23"/>
      <c r="Y267" s="23"/>
      <c r="Z267" s="23"/>
      <c r="AA267" s="23"/>
      <c r="AB267" s="23"/>
      <c r="AC267" s="23"/>
    </row>
    <row r="268" spans="1:29" ht="12.3">
      <c r="A268" s="23"/>
      <c r="V268" s="23"/>
      <c r="W268" s="23"/>
      <c r="X268" s="23"/>
      <c r="Y268" s="23"/>
      <c r="Z268" s="23"/>
      <c r="AA268" s="23"/>
      <c r="AB268" s="23"/>
      <c r="AC268" s="23"/>
    </row>
    <row r="269" spans="1:29" ht="12.3">
      <c r="A269" s="23"/>
      <c r="V269" s="23"/>
      <c r="W269" s="23"/>
      <c r="X269" s="23"/>
      <c r="Y269" s="23"/>
      <c r="Z269" s="23"/>
      <c r="AA269" s="23"/>
      <c r="AB269" s="23"/>
      <c r="AC269" s="23"/>
    </row>
    <row r="270" spans="1:29" ht="12.3">
      <c r="A270" s="23"/>
      <c r="V270" s="23"/>
      <c r="W270" s="23"/>
      <c r="X270" s="23"/>
      <c r="Y270" s="23"/>
      <c r="Z270" s="23"/>
      <c r="AA270" s="23"/>
      <c r="AB270" s="23"/>
      <c r="AC270" s="23"/>
    </row>
    <row r="271" spans="1:29" ht="12.3">
      <c r="A271" s="23"/>
      <c r="V271" s="23"/>
      <c r="W271" s="23"/>
      <c r="X271" s="23"/>
      <c r="Y271" s="23"/>
      <c r="Z271" s="23"/>
      <c r="AA271" s="23"/>
      <c r="AB271" s="23"/>
      <c r="AC271" s="23"/>
    </row>
    <row r="272" spans="1:29" ht="12.3">
      <c r="A272" s="23"/>
      <c r="V272" s="23"/>
      <c r="W272" s="23"/>
      <c r="X272" s="23"/>
      <c r="Y272" s="23"/>
      <c r="Z272" s="23"/>
      <c r="AA272" s="23"/>
      <c r="AB272" s="23"/>
      <c r="AC272" s="23"/>
    </row>
    <row r="273" spans="1:29" ht="12.3">
      <c r="A273" s="23"/>
      <c r="V273" s="23"/>
      <c r="W273" s="23"/>
      <c r="X273" s="23"/>
      <c r="Y273" s="23"/>
      <c r="Z273" s="23"/>
      <c r="AA273" s="23"/>
      <c r="AB273" s="23"/>
      <c r="AC273" s="23"/>
    </row>
    <row r="274" spans="1:29" ht="12.3">
      <c r="A274" s="23"/>
      <c r="V274" s="23"/>
      <c r="W274" s="23"/>
      <c r="X274" s="23"/>
      <c r="Y274" s="23"/>
      <c r="Z274" s="23"/>
      <c r="AA274" s="23"/>
      <c r="AB274" s="23"/>
      <c r="AC274" s="23"/>
    </row>
    <row r="275" spans="1:29" ht="12.3">
      <c r="A275" s="23"/>
      <c r="V275" s="23"/>
      <c r="W275" s="23"/>
      <c r="X275" s="23"/>
      <c r="Y275" s="23"/>
      <c r="Z275" s="23"/>
      <c r="AA275" s="23"/>
      <c r="AB275" s="23"/>
      <c r="AC275" s="23"/>
    </row>
    <row r="276" spans="1:29" ht="12.3">
      <c r="A276" s="23"/>
      <c r="V276" s="23"/>
      <c r="W276" s="23"/>
      <c r="X276" s="23"/>
      <c r="Y276" s="23"/>
      <c r="Z276" s="23"/>
      <c r="AA276" s="23"/>
      <c r="AB276" s="23"/>
      <c r="AC276" s="23"/>
    </row>
    <row r="277" spans="1:29" ht="12.3">
      <c r="A277" s="23"/>
      <c r="V277" s="23"/>
      <c r="W277" s="23"/>
      <c r="X277" s="23"/>
      <c r="Y277" s="23"/>
      <c r="Z277" s="23"/>
      <c r="AA277" s="23"/>
      <c r="AB277" s="23"/>
      <c r="AC277" s="23"/>
    </row>
    <row r="278" spans="1:29" ht="12.3">
      <c r="A278" s="23"/>
      <c r="V278" s="23"/>
      <c r="W278" s="23"/>
      <c r="X278" s="23"/>
      <c r="Y278" s="23"/>
      <c r="Z278" s="23"/>
      <c r="AA278" s="23"/>
      <c r="AB278" s="23"/>
      <c r="AC278" s="23"/>
    </row>
    <row r="279" spans="1:29" ht="12.3">
      <c r="A279" s="23"/>
      <c r="V279" s="23"/>
      <c r="W279" s="23"/>
      <c r="X279" s="23"/>
      <c r="Y279" s="23"/>
      <c r="Z279" s="23"/>
      <c r="AA279" s="23"/>
      <c r="AB279" s="23"/>
      <c r="AC279" s="23"/>
    </row>
    <row r="280" spans="1:29" ht="12.3">
      <c r="A280" s="23"/>
      <c r="V280" s="23"/>
      <c r="W280" s="23"/>
      <c r="X280" s="23"/>
      <c r="Y280" s="23"/>
      <c r="Z280" s="23"/>
      <c r="AA280" s="23"/>
      <c r="AB280" s="23"/>
      <c r="AC280" s="23"/>
    </row>
    <row r="281" spans="1:29" ht="12.3">
      <c r="A281" s="23"/>
      <c r="V281" s="23"/>
      <c r="W281" s="23"/>
      <c r="X281" s="23"/>
      <c r="Y281" s="23"/>
      <c r="Z281" s="23"/>
      <c r="AA281" s="23"/>
      <c r="AB281" s="23"/>
      <c r="AC281" s="23"/>
    </row>
    <row r="282" spans="1:29" ht="12.3">
      <c r="A282" s="23"/>
      <c r="V282" s="23"/>
      <c r="W282" s="23"/>
      <c r="X282" s="23"/>
      <c r="Y282" s="23"/>
      <c r="Z282" s="23"/>
      <c r="AA282" s="23"/>
      <c r="AB282" s="23"/>
      <c r="AC282" s="23"/>
    </row>
    <row r="283" spans="1:29" ht="12.3">
      <c r="A283" s="23"/>
      <c r="V283" s="23"/>
      <c r="W283" s="23"/>
      <c r="X283" s="23"/>
      <c r="Y283" s="23"/>
      <c r="Z283" s="23"/>
      <c r="AA283" s="23"/>
      <c r="AB283" s="23"/>
      <c r="AC283" s="23"/>
    </row>
    <row r="284" spans="1:29" ht="12.3">
      <c r="A284" s="23"/>
      <c r="V284" s="23"/>
      <c r="W284" s="23"/>
      <c r="X284" s="23"/>
      <c r="Y284" s="23"/>
      <c r="Z284" s="23"/>
      <c r="AA284" s="23"/>
      <c r="AB284" s="23"/>
      <c r="AC284" s="23"/>
    </row>
    <row r="285" spans="1:29" ht="12.3">
      <c r="A285" s="23"/>
      <c r="V285" s="23"/>
      <c r="W285" s="23"/>
      <c r="X285" s="23"/>
      <c r="Y285" s="23"/>
      <c r="Z285" s="23"/>
      <c r="AA285" s="23"/>
      <c r="AB285" s="23"/>
      <c r="AC285" s="23"/>
    </row>
    <row r="286" spans="1:29" ht="12.3">
      <c r="A286" s="23"/>
      <c r="V286" s="23"/>
      <c r="W286" s="23"/>
      <c r="X286" s="23"/>
      <c r="Y286" s="23"/>
      <c r="Z286" s="23"/>
      <c r="AA286" s="23"/>
      <c r="AB286" s="23"/>
      <c r="AC286" s="23"/>
    </row>
    <row r="287" spans="1:29" ht="12.3">
      <c r="A287" s="23"/>
      <c r="V287" s="23"/>
      <c r="W287" s="23"/>
      <c r="X287" s="23"/>
      <c r="Y287" s="23"/>
      <c r="Z287" s="23"/>
      <c r="AA287" s="23"/>
      <c r="AB287" s="23"/>
      <c r="AC287" s="23"/>
    </row>
    <row r="288" spans="1:29" ht="12.3">
      <c r="A288" s="23"/>
      <c r="V288" s="23"/>
      <c r="W288" s="23"/>
      <c r="X288" s="23"/>
      <c r="Y288" s="23"/>
      <c r="Z288" s="23"/>
      <c r="AA288" s="23"/>
      <c r="AB288" s="23"/>
      <c r="AC288" s="23"/>
    </row>
    <row r="289" spans="1:29" ht="12.3">
      <c r="A289" s="23"/>
      <c r="V289" s="23"/>
      <c r="W289" s="23"/>
      <c r="X289" s="23"/>
      <c r="Y289" s="23"/>
      <c r="Z289" s="23"/>
      <c r="AA289" s="23"/>
      <c r="AB289" s="23"/>
      <c r="AC289" s="23"/>
    </row>
    <row r="290" spans="1:29" ht="12.3">
      <c r="A290" s="23"/>
      <c r="V290" s="23"/>
      <c r="W290" s="23"/>
      <c r="X290" s="23"/>
      <c r="Y290" s="23"/>
      <c r="Z290" s="23"/>
      <c r="AA290" s="23"/>
      <c r="AB290" s="23"/>
      <c r="AC290" s="23"/>
    </row>
    <row r="291" spans="1:29" ht="12.3">
      <c r="A291" s="23"/>
      <c r="V291" s="23"/>
      <c r="W291" s="23"/>
      <c r="X291" s="23"/>
      <c r="Y291" s="23"/>
      <c r="Z291" s="23"/>
      <c r="AA291" s="23"/>
      <c r="AB291" s="23"/>
      <c r="AC291" s="23"/>
    </row>
    <row r="292" spans="1:29" ht="12.3">
      <c r="A292" s="23"/>
      <c r="V292" s="23"/>
      <c r="W292" s="23"/>
      <c r="X292" s="23"/>
      <c r="Y292" s="23"/>
      <c r="Z292" s="23"/>
      <c r="AA292" s="23"/>
      <c r="AB292" s="23"/>
      <c r="AC292" s="23"/>
    </row>
    <row r="293" spans="1:29" ht="12.3">
      <c r="A293" s="23"/>
      <c r="V293" s="23"/>
      <c r="W293" s="23"/>
      <c r="X293" s="23"/>
      <c r="Y293" s="23"/>
      <c r="Z293" s="23"/>
      <c r="AA293" s="23"/>
      <c r="AB293" s="23"/>
      <c r="AC293" s="23"/>
    </row>
    <row r="294" spans="1:29" ht="12.3">
      <c r="A294" s="23"/>
      <c r="V294" s="23"/>
      <c r="W294" s="23"/>
      <c r="X294" s="23"/>
      <c r="Y294" s="23"/>
      <c r="Z294" s="23"/>
      <c r="AA294" s="23"/>
      <c r="AB294" s="23"/>
      <c r="AC294" s="23"/>
    </row>
    <row r="295" spans="1:29" ht="12.3">
      <c r="A295" s="23"/>
      <c r="V295" s="23"/>
      <c r="W295" s="23"/>
      <c r="X295" s="23"/>
      <c r="Y295" s="23"/>
      <c r="Z295" s="23"/>
      <c r="AA295" s="23"/>
      <c r="AB295" s="23"/>
      <c r="AC295" s="23"/>
    </row>
    <row r="296" spans="1:29" ht="12.3">
      <c r="A296" s="23"/>
      <c r="V296" s="23"/>
      <c r="W296" s="23"/>
      <c r="X296" s="23"/>
      <c r="Y296" s="23"/>
      <c r="Z296" s="23"/>
      <c r="AA296" s="23"/>
      <c r="AB296" s="23"/>
      <c r="AC296" s="23"/>
    </row>
    <row r="297" spans="1:29" ht="12.3">
      <c r="A297" s="23"/>
      <c r="V297" s="23"/>
      <c r="W297" s="23"/>
      <c r="X297" s="23"/>
      <c r="Y297" s="23"/>
      <c r="Z297" s="23"/>
      <c r="AA297" s="23"/>
      <c r="AB297" s="23"/>
      <c r="AC297" s="23"/>
    </row>
    <row r="298" spans="1:29" ht="12.3">
      <c r="A298" s="23"/>
      <c r="V298" s="23"/>
      <c r="W298" s="23"/>
      <c r="X298" s="23"/>
      <c r="Y298" s="23"/>
      <c r="Z298" s="23"/>
      <c r="AA298" s="23"/>
      <c r="AB298" s="23"/>
      <c r="AC298" s="23"/>
    </row>
    <row r="299" spans="1:29" ht="12.3">
      <c r="A299" s="23"/>
      <c r="V299" s="23"/>
      <c r="W299" s="23"/>
      <c r="X299" s="23"/>
      <c r="Y299" s="23"/>
      <c r="Z299" s="23"/>
      <c r="AA299" s="23"/>
      <c r="AB299" s="23"/>
      <c r="AC299" s="23"/>
    </row>
    <row r="300" spans="1:29" ht="12.3">
      <c r="A300" s="23"/>
      <c r="V300" s="23"/>
      <c r="W300" s="23"/>
      <c r="X300" s="23"/>
      <c r="Y300" s="23"/>
      <c r="Z300" s="23"/>
      <c r="AA300" s="23"/>
      <c r="AB300" s="23"/>
      <c r="AC300" s="23"/>
    </row>
    <row r="301" spans="1:29" ht="12.3">
      <c r="A301" s="23"/>
      <c r="V301" s="23"/>
      <c r="W301" s="23"/>
      <c r="X301" s="23"/>
      <c r="Y301" s="23"/>
      <c r="Z301" s="23"/>
      <c r="AA301" s="23"/>
      <c r="AB301" s="23"/>
      <c r="AC301" s="23"/>
    </row>
    <row r="302" spans="1:29" ht="12.3">
      <c r="A302" s="23"/>
      <c r="V302" s="23"/>
      <c r="W302" s="23"/>
      <c r="X302" s="23"/>
      <c r="Y302" s="23"/>
      <c r="Z302" s="23"/>
      <c r="AA302" s="23"/>
      <c r="AB302" s="23"/>
      <c r="AC302" s="23"/>
    </row>
    <row r="303" spans="1:29" ht="12.3">
      <c r="A303" s="23"/>
      <c r="V303" s="23"/>
      <c r="W303" s="23"/>
      <c r="X303" s="23"/>
      <c r="Y303" s="23"/>
      <c r="Z303" s="23"/>
      <c r="AA303" s="23"/>
      <c r="AB303" s="23"/>
      <c r="AC303" s="23"/>
    </row>
    <row r="304" spans="1:29" ht="12.3">
      <c r="A304" s="23"/>
      <c r="V304" s="23"/>
      <c r="W304" s="23"/>
      <c r="X304" s="23"/>
      <c r="Y304" s="23"/>
      <c r="Z304" s="23"/>
      <c r="AA304" s="23"/>
      <c r="AB304" s="23"/>
      <c r="AC304" s="23"/>
    </row>
    <row r="305" spans="1:29" ht="12.3">
      <c r="A305" s="23"/>
      <c r="V305" s="23"/>
      <c r="W305" s="23"/>
      <c r="X305" s="23"/>
      <c r="Y305" s="23"/>
      <c r="Z305" s="23"/>
      <c r="AA305" s="23"/>
      <c r="AB305" s="23"/>
      <c r="AC305" s="23"/>
    </row>
    <row r="306" spans="1:29" ht="12.3">
      <c r="A306" s="23"/>
      <c r="V306" s="23"/>
      <c r="W306" s="23"/>
      <c r="X306" s="23"/>
      <c r="Y306" s="23"/>
      <c r="Z306" s="23"/>
      <c r="AA306" s="23"/>
      <c r="AB306" s="23"/>
      <c r="AC306" s="23"/>
    </row>
    <row r="307" spans="1:29" ht="12.3">
      <c r="A307" s="23"/>
      <c r="V307" s="23"/>
      <c r="W307" s="23"/>
      <c r="X307" s="23"/>
      <c r="Y307" s="23"/>
      <c r="Z307" s="23"/>
      <c r="AA307" s="23"/>
      <c r="AB307" s="23"/>
      <c r="AC307" s="23"/>
    </row>
    <row r="308" spans="1:29" ht="12.3">
      <c r="A308" s="23"/>
      <c r="V308" s="23"/>
      <c r="W308" s="23"/>
      <c r="X308" s="23"/>
      <c r="Y308" s="23"/>
      <c r="Z308" s="23"/>
      <c r="AA308" s="23"/>
      <c r="AB308" s="23"/>
      <c r="AC308" s="23"/>
    </row>
    <row r="309" spans="1:29" ht="12.3">
      <c r="A309" s="23"/>
      <c r="V309" s="23"/>
      <c r="W309" s="23"/>
      <c r="X309" s="23"/>
      <c r="Y309" s="23"/>
      <c r="Z309" s="23"/>
      <c r="AA309" s="23"/>
      <c r="AB309" s="23"/>
      <c r="AC309" s="23"/>
    </row>
    <row r="310" spans="1:29" ht="12.3">
      <c r="A310" s="23"/>
      <c r="V310" s="23"/>
      <c r="W310" s="23"/>
      <c r="X310" s="23"/>
      <c r="Y310" s="23"/>
      <c r="Z310" s="23"/>
      <c r="AA310" s="23"/>
      <c r="AB310" s="23"/>
      <c r="AC310" s="23"/>
    </row>
    <row r="311" spans="1:29" ht="12.3">
      <c r="A311" s="23"/>
      <c r="V311" s="23"/>
      <c r="W311" s="23"/>
      <c r="X311" s="23"/>
      <c r="Y311" s="23"/>
      <c r="Z311" s="23"/>
      <c r="AA311" s="23"/>
      <c r="AB311" s="23"/>
      <c r="AC311" s="23"/>
    </row>
    <row r="312" spans="1:29" ht="12.3">
      <c r="A312" s="23"/>
      <c r="V312" s="23"/>
      <c r="W312" s="23"/>
      <c r="X312" s="23"/>
      <c r="Y312" s="23"/>
      <c r="Z312" s="23"/>
      <c r="AA312" s="23"/>
      <c r="AB312" s="23"/>
      <c r="AC312" s="23"/>
    </row>
    <row r="313" spans="1:29" ht="12.3">
      <c r="A313" s="23"/>
      <c r="V313" s="23"/>
      <c r="W313" s="23"/>
      <c r="X313" s="23"/>
      <c r="Y313" s="23"/>
      <c r="Z313" s="23"/>
      <c r="AA313" s="23"/>
      <c r="AB313" s="23"/>
      <c r="AC313" s="23"/>
    </row>
    <row r="314" spans="1:29" ht="12.3">
      <c r="A314" s="23"/>
      <c r="V314" s="23"/>
      <c r="W314" s="23"/>
      <c r="X314" s="23"/>
      <c r="Y314" s="23"/>
      <c r="Z314" s="23"/>
      <c r="AA314" s="23"/>
      <c r="AB314" s="23"/>
      <c r="AC314" s="23"/>
    </row>
    <row r="315" spans="1:29" ht="12.3">
      <c r="A315" s="23"/>
      <c r="V315" s="23"/>
      <c r="W315" s="23"/>
      <c r="X315" s="23"/>
      <c r="Y315" s="23"/>
      <c r="Z315" s="23"/>
      <c r="AA315" s="23"/>
      <c r="AB315" s="23"/>
      <c r="AC315" s="23"/>
    </row>
    <row r="316" spans="1:29" ht="12.3">
      <c r="A316" s="23"/>
      <c r="V316" s="23"/>
      <c r="W316" s="23"/>
      <c r="X316" s="23"/>
      <c r="Y316" s="23"/>
      <c r="Z316" s="23"/>
      <c r="AA316" s="23"/>
      <c r="AB316" s="23"/>
      <c r="AC316" s="23"/>
    </row>
    <row r="317" spans="1:29" ht="12.3">
      <c r="A317" s="23"/>
      <c r="V317" s="23"/>
      <c r="W317" s="23"/>
      <c r="X317" s="23"/>
      <c r="Y317" s="23"/>
      <c r="Z317" s="23"/>
      <c r="AA317" s="23"/>
      <c r="AB317" s="23"/>
      <c r="AC317" s="23"/>
    </row>
    <row r="318" spans="1:29" ht="12.3">
      <c r="A318" s="23"/>
      <c r="V318" s="23"/>
      <c r="W318" s="23"/>
      <c r="X318" s="23"/>
      <c r="Y318" s="23"/>
      <c r="Z318" s="23"/>
      <c r="AA318" s="23"/>
      <c r="AB318" s="23"/>
      <c r="AC318" s="23"/>
    </row>
    <row r="319" spans="1:29" ht="12.3">
      <c r="A319" s="23"/>
      <c r="V319" s="23"/>
      <c r="W319" s="23"/>
      <c r="X319" s="23"/>
      <c r="Y319" s="23"/>
      <c r="Z319" s="23"/>
      <c r="AA319" s="23"/>
      <c r="AB319" s="23"/>
      <c r="AC319" s="23"/>
    </row>
    <row r="320" spans="1:29" ht="12.3">
      <c r="A320" s="23"/>
      <c r="V320" s="23"/>
      <c r="W320" s="23"/>
      <c r="X320" s="23"/>
      <c r="Y320" s="23"/>
      <c r="Z320" s="23"/>
      <c r="AA320" s="23"/>
      <c r="AB320" s="23"/>
      <c r="AC320" s="23"/>
    </row>
    <row r="321" spans="1:29" ht="12.3">
      <c r="A321" s="23"/>
      <c r="V321" s="23"/>
      <c r="W321" s="23"/>
      <c r="X321" s="23"/>
      <c r="Y321" s="23"/>
      <c r="Z321" s="23"/>
      <c r="AA321" s="23"/>
      <c r="AB321" s="23"/>
      <c r="AC321" s="23"/>
    </row>
    <row r="322" spans="1:29" ht="12.3">
      <c r="A322" s="23"/>
      <c r="V322" s="23"/>
      <c r="W322" s="23"/>
      <c r="X322" s="23"/>
      <c r="Y322" s="23"/>
      <c r="Z322" s="23"/>
      <c r="AA322" s="23"/>
      <c r="AB322" s="23"/>
      <c r="AC322" s="23"/>
    </row>
    <row r="323" spans="1:29" ht="12.3">
      <c r="A323" s="23"/>
      <c r="V323" s="23"/>
      <c r="W323" s="23"/>
      <c r="X323" s="23"/>
      <c r="Y323" s="23"/>
      <c r="Z323" s="23"/>
      <c r="AA323" s="23"/>
      <c r="AB323" s="23"/>
      <c r="AC323" s="23"/>
    </row>
    <row r="324" spans="1:29" ht="12.3">
      <c r="A324" s="23"/>
      <c r="V324" s="23"/>
      <c r="W324" s="23"/>
      <c r="X324" s="23"/>
      <c r="Y324" s="23"/>
      <c r="Z324" s="23"/>
      <c r="AA324" s="23"/>
      <c r="AB324" s="23"/>
      <c r="AC324" s="23"/>
    </row>
    <row r="325" spans="1:29" ht="12.3">
      <c r="A325" s="23"/>
      <c r="V325" s="23"/>
      <c r="W325" s="23"/>
      <c r="X325" s="23"/>
      <c r="Y325" s="23"/>
      <c r="Z325" s="23"/>
      <c r="AA325" s="23"/>
      <c r="AB325" s="23"/>
      <c r="AC325" s="23"/>
    </row>
    <row r="326" spans="1:29" ht="12.3">
      <c r="A326" s="23"/>
      <c r="V326" s="23"/>
      <c r="W326" s="23"/>
      <c r="X326" s="23"/>
      <c r="Y326" s="23"/>
      <c r="Z326" s="23"/>
      <c r="AA326" s="23"/>
      <c r="AB326" s="23"/>
      <c r="AC326" s="23"/>
    </row>
    <row r="327" spans="1:29" ht="12.3">
      <c r="A327" s="23"/>
      <c r="V327" s="23"/>
      <c r="W327" s="23"/>
      <c r="X327" s="23"/>
      <c r="Y327" s="23"/>
      <c r="Z327" s="23"/>
      <c r="AA327" s="23"/>
      <c r="AB327" s="23"/>
      <c r="AC327" s="23"/>
    </row>
    <row r="328" spans="1:29" ht="12.3">
      <c r="A328" s="23"/>
      <c r="V328" s="23"/>
      <c r="W328" s="23"/>
      <c r="X328" s="23"/>
      <c r="Y328" s="23"/>
      <c r="Z328" s="23"/>
      <c r="AA328" s="23"/>
      <c r="AB328" s="23"/>
      <c r="AC328" s="23"/>
    </row>
    <row r="329" spans="1:29" ht="12.3">
      <c r="A329" s="23"/>
      <c r="V329" s="23"/>
      <c r="W329" s="23"/>
      <c r="X329" s="23"/>
      <c r="Y329" s="23"/>
      <c r="Z329" s="23"/>
      <c r="AA329" s="23"/>
      <c r="AB329" s="23"/>
      <c r="AC329" s="23"/>
    </row>
    <row r="330" spans="1:29" ht="12.3">
      <c r="A330" s="23"/>
      <c r="V330" s="23"/>
      <c r="W330" s="23"/>
      <c r="X330" s="23"/>
      <c r="Y330" s="23"/>
      <c r="Z330" s="23"/>
      <c r="AA330" s="23"/>
      <c r="AB330" s="23"/>
      <c r="AC330" s="23"/>
    </row>
    <row r="331" spans="1:29" ht="12.3">
      <c r="A331" s="23"/>
      <c r="V331" s="23"/>
      <c r="W331" s="23"/>
      <c r="X331" s="23"/>
      <c r="Y331" s="23"/>
      <c r="Z331" s="23"/>
      <c r="AA331" s="23"/>
      <c r="AB331" s="23"/>
      <c r="AC331" s="23"/>
    </row>
    <row r="332" spans="1:29" ht="12.3">
      <c r="A332" s="23"/>
      <c r="V332" s="23"/>
      <c r="W332" s="23"/>
      <c r="X332" s="23"/>
      <c r="Y332" s="23"/>
      <c r="Z332" s="23"/>
      <c r="AA332" s="23"/>
      <c r="AB332" s="23"/>
      <c r="AC332" s="23"/>
    </row>
    <row r="333" spans="1:29" ht="12.3">
      <c r="A333" s="23"/>
      <c r="V333" s="23"/>
      <c r="W333" s="23"/>
      <c r="X333" s="23"/>
      <c r="Y333" s="23"/>
      <c r="Z333" s="23"/>
      <c r="AA333" s="23"/>
      <c r="AB333" s="23"/>
      <c r="AC333" s="23"/>
    </row>
    <row r="334" spans="1:29" ht="12.3">
      <c r="A334" s="23"/>
      <c r="V334" s="23"/>
      <c r="W334" s="23"/>
      <c r="X334" s="23"/>
      <c r="Y334" s="23"/>
      <c r="Z334" s="23"/>
      <c r="AA334" s="23"/>
      <c r="AB334" s="23"/>
      <c r="AC334" s="23"/>
    </row>
    <row r="335" spans="1:29" ht="12.3">
      <c r="A335" s="23"/>
      <c r="V335" s="23"/>
      <c r="W335" s="23"/>
      <c r="X335" s="23"/>
      <c r="Y335" s="23"/>
      <c r="Z335" s="23"/>
      <c r="AA335" s="23"/>
      <c r="AB335" s="23"/>
      <c r="AC335" s="23"/>
    </row>
    <row r="336" spans="1:29" ht="12.3">
      <c r="A336" s="23"/>
      <c r="V336" s="23"/>
      <c r="W336" s="23"/>
      <c r="X336" s="23"/>
      <c r="Y336" s="23"/>
      <c r="Z336" s="23"/>
      <c r="AA336" s="23"/>
      <c r="AB336" s="23"/>
      <c r="AC336" s="23"/>
    </row>
    <row r="337" spans="1:29" ht="12.3">
      <c r="A337" s="23"/>
      <c r="V337" s="23"/>
      <c r="W337" s="23"/>
      <c r="X337" s="23"/>
      <c r="Y337" s="23"/>
      <c r="Z337" s="23"/>
      <c r="AA337" s="23"/>
      <c r="AB337" s="23"/>
      <c r="AC337" s="23"/>
    </row>
    <row r="338" spans="1:29" ht="12.3">
      <c r="A338" s="23"/>
      <c r="V338" s="23"/>
      <c r="W338" s="23"/>
      <c r="X338" s="23"/>
      <c r="Y338" s="23"/>
      <c r="Z338" s="23"/>
      <c r="AA338" s="23"/>
      <c r="AB338" s="23"/>
      <c r="AC338" s="23"/>
    </row>
    <row r="339" spans="1:29" ht="12.3">
      <c r="A339" s="23"/>
      <c r="V339" s="23"/>
      <c r="W339" s="23"/>
      <c r="X339" s="23"/>
      <c r="Y339" s="23"/>
      <c r="Z339" s="23"/>
      <c r="AA339" s="23"/>
      <c r="AB339" s="23"/>
      <c r="AC339" s="23"/>
    </row>
    <row r="340" spans="1:29" ht="12.3">
      <c r="A340" s="23"/>
      <c r="V340" s="23"/>
      <c r="W340" s="23"/>
      <c r="X340" s="23"/>
      <c r="Y340" s="23"/>
      <c r="Z340" s="23"/>
      <c r="AA340" s="23"/>
      <c r="AB340" s="23"/>
      <c r="AC340" s="23"/>
    </row>
    <row r="341" spans="1:29" ht="12.3">
      <c r="A341" s="23"/>
      <c r="V341" s="23"/>
      <c r="W341" s="23"/>
      <c r="X341" s="23"/>
      <c r="Y341" s="23"/>
      <c r="Z341" s="23"/>
      <c r="AA341" s="23"/>
      <c r="AB341" s="23"/>
      <c r="AC341" s="23"/>
    </row>
    <row r="342" spans="1:29" ht="12.3">
      <c r="A342" s="23"/>
      <c r="V342" s="23"/>
      <c r="W342" s="23"/>
      <c r="X342" s="23"/>
      <c r="Y342" s="23"/>
      <c r="Z342" s="23"/>
      <c r="AA342" s="23"/>
      <c r="AB342" s="23"/>
      <c r="AC342" s="23"/>
    </row>
    <row r="343" spans="1:29" ht="12.3">
      <c r="A343" s="23"/>
      <c r="V343" s="23"/>
      <c r="W343" s="23"/>
      <c r="X343" s="23"/>
      <c r="Y343" s="23"/>
      <c r="Z343" s="23"/>
      <c r="AA343" s="23"/>
      <c r="AB343" s="23"/>
      <c r="AC343" s="23"/>
    </row>
    <row r="344" spans="1:29" ht="12.3">
      <c r="A344" s="23"/>
      <c r="V344" s="23"/>
      <c r="W344" s="23"/>
      <c r="X344" s="23"/>
      <c r="Y344" s="23"/>
      <c r="Z344" s="23"/>
      <c r="AA344" s="23"/>
      <c r="AB344" s="23"/>
      <c r="AC344" s="23"/>
    </row>
    <row r="345" spans="1:29" ht="12.3">
      <c r="A345" s="23"/>
      <c r="V345" s="23"/>
      <c r="W345" s="23"/>
      <c r="X345" s="23"/>
      <c r="Y345" s="23"/>
      <c r="Z345" s="23"/>
      <c r="AA345" s="23"/>
      <c r="AB345" s="23"/>
      <c r="AC345" s="23"/>
    </row>
    <row r="346" spans="1:29" ht="12.3">
      <c r="A346" s="23"/>
      <c r="V346" s="23"/>
      <c r="W346" s="23"/>
      <c r="X346" s="23"/>
      <c r="Y346" s="23"/>
      <c r="Z346" s="23"/>
      <c r="AA346" s="23"/>
      <c r="AB346" s="23"/>
      <c r="AC346" s="23"/>
    </row>
    <row r="347" spans="1:29" ht="12.3">
      <c r="A347" s="23"/>
      <c r="V347" s="23"/>
      <c r="W347" s="23"/>
      <c r="X347" s="23"/>
      <c r="Y347" s="23"/>
      <c r="Z347" s="23"/>
      <c r="AA347" s="23"/>
      <c r="AB347" s="23"/>
      <c r="AC347" s="23"/>
    </row>
    <row r="348" spans="1:29" ht="12.3">
      <c r="A348" s="23"/>
      <c r="V348" s="23"/>
      <c r="W348" s="23"/>
      <c r="X348" s="23"/>
      <c r="Y348" s="23"/>
      <c r="Z348" s="23"/>
      <c r="AA348" s="23"/>
      <c r="AB348" s="23"/>
      <c r="AC348" s="23"/>
    </row>
    <row r="349" spans="1:29" ht="12.3">
      <c r="A349" s="23"/>
      <c r="V349" s="23"/>
      <c r="W349" s="23"/>
      <c r="X349" s="23"/>
      <c r="Y349" s="23"/>
      <c r="Z349" s="23"/>
      <c r="AA349" s="23"/>
      <c r="AB349" s="23"/>
      <c r="AC349" s="23"/>
    </row>
    <row r="350" spans="1:29" ht="12.3">
      <c r="A350" s="23"/>
      <c r="V350" s="23"/>
      <c r="W350" s="23"/>
      <c r="X350" s="23"/>
      <c r="Y350" s="23"/>
      <c r="Z350" s="23"/>
      <c r="AA350" s="23"/>
      <c r="AB350" s="23"/>
      <c r="AC350" s="23"/>
    </row>
    <row r="351" spans="1:29" ht="12.3">
      <c r="A351" s="23"/>
      <c r="V351" s="23"/>
      <c r="W351" s="23"/>
      <c r="X351" s="23"/>
      <c r="Y351" s="23"/>
      <c r="Z351" s="23"/>
      <c r="AA351" s="23"/>
      <c r="AB351" s="23"/>
      <c r="AC351" s="23"/>
    </row>
    <row r="352" spans="1:29" ht="12.3">
      <c r="A352" s="23"/>
      <c r="V352" s="23"/>
      <c r="W352" s="23"/>
      <c r="X352" s="23"/>
      <c r="Y352" s="23"/>
      <c r="Z352" s="23"/>
      <c r="AA352" s="23"/>
      <c r="AB352" s="23"/>
      <c r="AC352" s="23"/>
    </row>
    <row r="353" spans="1:29" ht="12.3">
      <c r="A353" s="23"/>
      <c r="V353" s="23"/>
      <c r="W353" s="23"/>
      <c r="X353" s="23"/>
      <c r="Y353" s="23"/>
      <c r="Z353" s="23"/>
      <c r="AA353" s="23"/>
      <c r="AB353" s="23"/>
      <c r="AC353" s="23"/>
    </row>
    <row r="354" spans="1:29" ht="12.3">
      <c r="A354" s="23"/>
      <c r="V354" s="23"/>
      <c r="W354" s="23"/>
      <c r="X354" s="23"/>
      <c r="Y354" s="23"/>
      <c r="Z354" s="23"/>
      <c r="AA354" s="23"/>
      <c r="AB354" s="23"/>
      <c r="AC354" s="23"/>
    </row>
    <row r="355" spans="1:29" ht="12.3">
      <c r="A355" s="23"/>
      <c r="V355" s="23"/>
      <c r="W355" s="23"/>
      <c r="X355" s="23"/>
      <c r="Y355" s="23"/>
      <c r="Z355" s="23"/>
      <c r="AA355" s="23"/>
      <c r="AB355" s="23"/>
      <c r="AC355" s="23"/>
    </row>
    <row r="356" spans="1:29" ht="12.3">
      <c r="A356" s="23"/>
      <c r="V356" s="23"/>
      <c r="W356" s="23"/>
      <c r="X356" s="23"/>
      <c r="Y356" s="23"/>
      <c r="Z356" s="23"/>
      <c r="AA356" s="23"/>
      <c r="AB356" s="23"/>
      <c r="AC356" s="23"/>
    </row>
    <row r="357" spans="1:29" ht="12.3">
      <c r="A357" s="23"/>
      <c r="V357" s="23"/>
      <c r="W357" s="23"/>
      <c r="X357" s="23"/>
      <c r="Y357" s="23"/>
      <c r="Z357" s="23"/>
      <c r="AA357" s="23"/>
      <c r="AB357" s="23"/>
      <c r="AC357" s="23"/>
    </row>
    <row r="358" spans="1:29" ht="12.3">
      <c r="A358" s="23"/>
      <c r="V358" s="23"/>
      <c r="W358" s="23"/>
      <c r="X358" s="23"/>
      <c r="Y358" s="23"/>
      <c r="Z358" s="23"/>
      <c r="AA358" s="23"/>
      <c r="AB358" s="23"/>
      <c r="AC358" s="23"/>
    </row>
    <row r="359" spans="1:29" ht="12.3">
      <c r="A359" s="23"/>
      <c r="V359" s="23"/>
      <c r="W359" s="23"/>
      <c r="X359" s="23"/>
      <c r="Y359" s="23"/>
      <c r="Z359" s="23"/>
      <c r="AA359" s="23"/>
      <c r="AB359" s="23"/>
      <c r="AC359" s="23"/>
    </row>
    <row r="360" spans="1:29" ht="12.3">
      <c r="A360" s="23"/>
      <c r="V360" s="23"/>
      <c r="W360" s="23"/>
      <c r="X360" s="23"/>
      <c r="Y360" s="23"/>
      <c r="Z360" s="23"/>
      <c r="AA360" s="23"/>
      <c r="AB360" s="23"/>
      <c r="AC360" s="23"/>
    </row>
    <row r="361" spans="1:29" ht="12.3">
      <c r="A361" s="23"/>
      <c r="V361" s="23"/>
      <c r="W361" s="23"/>
      <c r="X361" s="23"/>
      <c r="Y361" s="23"/>
      <c r="Z361" s="23"/>
      <c r="AA361" s="23"/>
      <c r="AB361" s="23"/>
      <c r="AC361" s="23"/>
    </row>
    <row r="362" spans="1:29" ht="12.3">
      <c r="A362" s="23"/>
      <c r="V362" s="23"/>
      <c r="W362" s="23"/>
      <c r="X362" s="23"/>
      <c r="Y362" s="23"/>
      <c r="Z362" s="23"/>
      <c r="AA362" s="23"/>
      <c r="AB362" s="23"/>
      <c r="AC362" s="23"/>
    </row>
    <row r="363" spans="1:29" ht="12.3">
      <c r="A363" s="23"/>
      <c r="V363" s="23"/>
      <c r="W363" s="23"/>
      <c r="X363" s="23"/>
      <c r="Y363" s="23"/>
      <c r="Z363" s="23"/>
      <c r="AA363" s="23"/>
      <c r="AB363" s="23"/>
      <c r="AC363" s="23"/>
    </row>
    <row r="364" spans="1:29" ht="12.3">
      <c r="A364" s="23"/>
      <c r="V364" s="23"/>
      <c r="W364" s="23"/>
      <c r="X364" s="23"/>
      <c r="Y364" s="23"/>
      <c r="Z364" s="23"/>
      <c r="AA364" s="23"/>
      <c r="AB364" s="23"/>
      <c r="AC364" s="23"/>
    </row>
    <row r="365" spans="1:29" ht="12.3">
      <c r="A365" s="23"/>
      <c r="V365" s="23"/>
      <c r="W365" s="23"/>
      <c r="X365" s="23"/>
      <c r="Y365" s="23"/>
      <c r="Z365" s="23"/>
      <c r="AA365" s="23"/>
      <c r="AB365" s="23"/>
      <c r="AC365" s="23"/>
    </row>
    <row r="366" spans="1:29" ht="12.3">
      <c r="A366" s="23"/>
      <c r="V366" s="23"/>
      <c r="W366" s="23"/>
      <c r="X366" s="23"/>
      <c r="Y366" s="23"/>
      <c r="Z366" s="23"/>
      <c r="AA366" s="23"/>
      <c r="AB366" s="23"/>
      <c r="AC366" s="23"/>
    </row>
    <row r="367" spans="1:29" ht="12.3">
      <c r="A367" s="23"/>
      <c r="V367" s="23"/>
      <c r="W367" s="23"/>
      <c r="X367" s="23"/>
      <c r="Y367" s="23"/>
      <c r="Z367" s="23"/>
      <c r="AA367" s="23"/>
      <c r="AB367" s="23"/>
      <c r="AC367" s="23"/>
    </row>
    <row r="368" spans="1:29" ht="12.3">
      <c r="A368" s="23"/>
      <c r="V368" s="23"/>
      <c r="W368" s="23"/>
      <c r="X368" s="23"/>
      <c r="Y368" s="23"/>
      <c r="Z368" s="23"/>
      <c r="AA368" s="23"/>
      <c r="AB368" s="23"/>
      <c r="AC368" s="23"/>
    </row>
    <row r="369" spans="1:29" ht="12.3">
      <c r="A369" s="23"/>
      <c r="V369" s="23"/>
      <c r="W369" s="23"/>
      <c r="X369" s="23"/>
      <c r="Y369" s="23"/>
      <c r="Z369" s="23"/>
      <c r="AA369" s="23"/>
      <c r="AB369" s="23"/>
      <c r="AC369" s="23"/>
    </row>
    <row r="370" spans="1:29" ht="12.3">
      <c r="A370" s="23"/>
      <c r="V370" s="23"/>
      <c r="W370" s="23"/>
      <c r="X370" s="23"/>
      <c r="Y370" s="23"/>
      <c r="Z370" s="23"/>
      <c r="AA370" s="23"/>
      <c r="AB370" s="23"/>
      <c r="AC370" s="23"/>
    </row>
    <row r="371" spans="1:29" ht="12.3">
      <c r="A371" s="23"/>
      <c r="V371" s="23"/>
      <c r="W371" s="23"/>
      <c r="X371" s="23"/>
      <c r="Y371" s="23"/>
      <c r="Z371" s="23"/>
      <c r="AA371" s="23"/>
      <c r="AB371" s="23"/>
      <c r="AC371" s="23"/>
    </row>
    <row r="372" spans="1:29" ht="12.3">
      <c r="A372" s="23"/>
      <c r="V372" s="23"/>
      <c r="W372" s="23"/>
      <c r="X372" s="23"/>
      <c r="Y372" s="23"/>
      <c r="Z372" s="23"/>
      <c r="AA372" s="23"/>
      <c r="AB372" s="23"/>
      <c r="AC372" s="23"/>
    </row>
    <row r="373" spans="1:29" ht="12.3">
      <c r="A373" s="23"/>
      <c r="V373" s="23"/>
      <c r="W373" s="23"/>
      <c r="X373" s="23"/>
      <c r="Y373" s="23"/>
      <c r="Z373" s="23"/>
      <c r="AA373" s="23"/>
      <c r="AB373" s="23"/>
      <c r="AC373" s="23"/>
    </row>
    <row r="374" spans="1:29" ht="12.3">
      <c r="A374" s="23"/>
      <c r="V374" s="23"/>
      <c r="W374" s="23"/>
      <c r="X374" s="23"/>
      <c r="Y374" s="23"/>
      <c r="Z374" s="23"/>
      <c r="AA374" s="23"/>
      <c r="AB374" s="23"/>
      <c r="AC374" s="23"/>
    </row>
    <row r="375" spans="1:29" ht="12.3">
      <c r="A375" s="23"/>
      <c r="V375" s="23"/>
      <c r="W375" s="23"/>
      <c r="X375" s="23"/>
      <c r="Y375" s="23"/>
      <c r="Z375" s="23"/>
      <c r="AA375" s="23"/>
      <c r="AB375" s="23"/>
      <c r="AC375" s="23"/>
    </row>
    <row r="376" spans="1:29" ht="12.3">
      <c r="A376" s="23"/>
      <c r="V376" s="23"/>
      <c r="W376" s="23"/>
      <c r="X376" s="23"/>
      <c r="Y376" s="23"/>
      <c r="Z376" s="23"/>
      <c r="AA376" s="23"/>
      <c r="AB376" s="23"/>
      <c r="AC376" s="23"/>
    </row>
    <row r="377" spans="1:29" ht="12.3">
      <c r="A377" s="23"/>
      <c r="V377" s="23"/>
      <c r="W377" s="23"/>
      <c r="X377" s="23"/>
      <c r="Y377" s="23"/>
      <c r="Z377" s="23"/>
      <c r="AA377" s="23"/>
      <c r="AB377" s="23"/>
      <c r="AC377" s="23"/>
    </row>
    <row r="378" spans="1:29" ht="12.3">
      <c r="A378" s="23"/>
      <c r="V378" s="23"/>
      <c r="W378" s="23"/>
      <c r="X378" s="23"/>
      <c r="Y378" s="23"/>
      <c r="Z378" s="23"/>
      <c r="AA378" s="23"/>
      <c r="AB378" s="23"/>
      <c r="AC378" s="23"/>
    </row>
    <row r="379" spans="1:29" ht="12.3">
      <c r="A379" s="23"/>
      <c r="V379" s="23"/>
      <c r="W379" s="23"/>
      <c r="X379" s="23"/>
      <c r="Y379" s="23"/>
      <c r="Z379" s="23"/>
      <c r="AA379" s="23"/>
      <c r="AB379" s="23"/>
      <c r="AC379" s="23"/>
    </row>
    <row r="380" spans="1:29" ht="12.3">
      <c r="A380" s="23"/>
      <c r="V380" s="23"/>
      <c r="W380" s="23"/>
      <c r="X380" s="23"/>
      <c r="Y380" s="23"/>
      <c r="Z380" s="23"/>
      <c r="AA380" s="23"/>
      <c r="AB380" s="23"/>
      <c r="AC380" s="23"/>
    </row>
    <row r="381" spans="1:29" ht="12.3">
      <c r="A381" s="23"/>
      <c r="V381" s="23"/>
      <c r="W381" s="23"/>
      <c r="X381" s="23"/>
      <c r="Y381" s="23"/>
      <c r="Z381" s="23"/>
      <c r="AA381" s="23"/>
      <c r="AB381" s="23"/>
      <c r="AC381" s="23"/>
    </row>
    <row r="382" spans="1:29" ht="12.3">
      <c r="A382" s="23"/>
      <c r="V382" s="23"/>
      <c r="W382" s="23"/>
      <c r="X382" s="23"/>
      <c r="Y382" s="23"/>
      <c r="Z382" s="23"/>
      <c r="AA382" s="23"/>
      <c r="AB382" s="23"/>
      <c r="AC382" s="23"/>
    </row>
    <row r="383" spans="1:29" ht="12.3">
      <c r="A383" s="23"/>
      <c r="V383" s="23"/>
      <c r="W383" s="23"/>
      <c r="X383" s="23"/>
      <c r="Y383" s="23"/>
      <c r="Z383" s="23"/>
      <c r="AA383" s="23"/>
      <c r="AB383" s="23"/>
      <c r="AC383" s="23"/>
    </row>
    <row r="384" spans="1:29" ht="12.3">
      <c r="A384" s="23"/>
      <c r="V384" s="23"/>
      <c r="W384" s="23"/>
      <c r="X384" s="23"/>
      <c r="Y384" s="23"/>
      <c r="Z384" s="23"/>
      <c r="AA384" s="23"/>
      <c r="AB384" s="23"/>
      <c r="AC384" s="23"/>
    </row>
    <row r="385" spans="1:29" ht="12.3">
      <c r="A385" s="23"/>
      <c r="V385" s="23"/>
      <c r="W385" s="23"/>
      <c r="X385" s="23"/>
      <c r="Y385" s="23"/>
      <c r="Z385" s="23"/>
      <c r="AA385" s="23"/>
      <c r="AB385" s="23"/>
      <c r="AC385" s="23"/>
    </row>
    <row r="386" spans="1:29" ht="12.3">
      <c r="A386" s="23"/>
      <c r="V386" s="23"/>
      <c r="W386" s="23"/>
      <c r="X386" s="23"/>
      <c r="Y386" s="23"/>
      <c r="Z386" s="23"/>
      <c r="AA386" s="23"/>
      <c r="AB386" s="23"/>
      <c r="AC386" s="23"/>
    </row>
    <row r="387" spans="1:29" ht="12.3">
      <c r="A387" s="23"/>
      <c r="V387" s="23"/>
      <c r="W387" s="23"/>
      <c r="X387" s="23"/>
      <c r="Y387" s="23"/>
      <c r="Z387" s="23"/>
      <c r="AA387" s="23"/>
      <c r="AB387" s="23"/>
      <c r="AC387" s="23"/>
    </row>
    <row r="388" spans="1:29" ht="12.3">
      <c r="A388" s="23"/>
      <c r="V388" s="23"/>
      <c r="W388" s="23"/>
      <c r="X388" s="23"/>
      <c r="Y388" s="23"/>
      <c r="Z388" s="23"/>
      <c r="AA388" s="23"/>
      <c r="AB388" s="23"/>
      <c r="AC388" s="23"/>
    </row>
    <row r="389" spans="1:29" ht="12.3">
      <c r="A389" s="23"/>
      <c r="V389" s="23"/>
      <c r="W389" s="23"/>
      <c r="X389" s="23"/>
      <c r="Y389" s="23"/>
      <c r="Z389" s="23"/>
      <c r="AA389" s="23"/>
      <c r="AB389" s="23"/>
      <c r="AC389" s="23"/>
    </row>
    <row r="390" spans="1:29" ht="12.3">
      <c r="A390" s="23"/>
      <c r="V390" s="23"/>
      <c r="W390" s="23"/>
      <c r="X390" s="23"/>
      <c r="Y390" s="23"/>
      <c r="Z390" s="23"/>
      <c r="AA390" s="23"/>
      <c r="AB390" s="23"/>
      <c r="AC390" s="23"/>
    </row>
    <row r="391" spans="1:29" ht="12.3">
      <c r="A391" s="23"/>
      <c r="V391" s="23"/>
      <c r="W391" s="23"/>
      <c r="X391" s="23"/>
      <c r="Y391" s="23"/>
      <c r="Z391" s="23"/>
      <c r="AA391" s="23"/>
      <c r="AB391" s="23"/>
      <c r="AC391" s="23"/>
    </row>
    <row r="392" spans="1:29" ht="12.3">
      <c r="A392" s="23"/>
      <c r="V392" s="23"/>
      <c r="W392" s="23"/>
      <c r="X392" s="23"/>
      <c r="Y392" s="23"/>
      <c r="Z392" s="23"/>
      <c r="AA392" s="23"/>
      <c r="AB392" s="23"/>
      <c r="AC392" s="23"/>
    </row>
    <row r="393" spans="1:29" ht="12.3">
      <c r="A393" s="23"/>
      <c r="V393" s="23"/>
      <c r="W393" s="23"/>
      <c r="X393" s="23"/>
      <c r="Y393" s="23"/>
      <c r="Z393" s="23"/>
      <c r="AA393" s="23"/>
      <c r="AB393" s="23"/>
      <c r="AC393" s="23"/>
    </row>
    <row r="394" spans="1:29" ht="12.3">
      <c r="A394" s="23"/>
      <c r="V394" s="23"/>
      <c r="W394" s="23"/>
      <c r="X394" s="23"/>
      <c r="Y394" s="23"/>
      <c r="Z394" s="23"/>
      <c r="AA394" s="23"/>
      <c r="AB394" s="23"/>
      <c r="AC394" s="23"/>
    </row>
    <row r="395" spans="1:29" ht="12.3">
      <c r="A395" s="23"/>
      <c r="V395" s="23"/>
      <c r="W395" s="23"/>
      <c r="X395" s="23"/>
      <c r="Y395" s="23"/>
      <c r="Z395" s="23"/>
      <c r="AA395" s="23"/>
      <c r="AB395" s="23"/>
      <c r="AC395" s="23"/>
    </row>
    <row r="396" spans="1:29" ht="12.3">
      <c r="A396" s="23"/>
      <c r="V396" s="23"/>
      <c r="W396" s="23"/>
      <c r="X396" s="23"/>
      <c r="Y396" s="23"/>
      <c r="Z396" s="23"/>
      <c r="AA396" s="23"/>
      <c r="AB396" s="23"/>
      <c r="AC396" s="23"/>
    </row>
    <row r="397" spans="1:29" ht="12.3">
      <c r="A397" s="23"/>
      <c r="V397" s="23"/>
      <c r="W397" s="23"/>
      <c r="X397" s="23"/>
      <c r="Y397" s="23"/>
      <c r="Z397" s="23"/>
      <c r="AA397" s="23"/>
      <c r="AB397" s="23"/>
      <c r="AC397" s="23"/>
    </row>
    <row r="398" spans="1:29" ht="12.3">
      <c r="A398" s="23"/>
      <c r="V398" s="23"/>
      <c r="W398" s="23"/>
      <c r="X398" s="23"/>
      <c r="Y398" s="23"/>
      <c r="Z398" s="23"/>
      <c r="AA398" s="23"/>
      <c r="AB398" s="23"/>
      <c r="AC398" s="23"/>
    </row>
    <row r="399" spans="1:29" ht="12.3">
      <c r="A399" s="23"/>
      <c r="V399" s="23"/>
      <c r="W399" s="23"/>
      <c r="X399" s="23"/>
      <c r="Y399" s="23"/>
      <c r="Z399" s="23"/>
      <c r="AA399" s="23"/>
      <c r="AB399" s="23"/>
      <c r="AC399" s="23"/>
    </row>
    <row r="400" spans="1:29" ht="12.3">
      <c r="A400" s="23"/>
      <c r="V400" s="23"/>
      <c r="W400" s="23"/>
      <c r="X400" s="23"/>
      <c r="Y400" s="23"/>
      <c r="Z400" s="23"/>
      <c r="AA400" s="23"/>
      <c r="AB400" s="23"/>
      <c r="AC400" s="23"/>
    </row>
    <row r="401" spans="1:29" ht="12.3">
      <c r="A401" s="23"/>
      <c r="V401" s="23"/>
      <c r="W401" s="23"/>
      <c r="X401" s="23"/>
      <c r="Y401" s="23"/>
      <c r="Z401" s="23"/>
      <c r="AA401" s="23"/>
      <c r="AB401" s="23"/>
      <c r="AC401" s="23"/>
    </row>
    <row r="402" spans="1:29" ht="12.3">
      <c r="A402" s="23"/>
      <c r="V402" s="23"/>
      <c r="W402" s="23"/>
      <c r="X402" s="23"/>
      <c r="Y402" s="23"/>
      <c r="Z402" s="23"/>
      <c r="AA402" s="23"/>
      <c r="AB402" s="23"/>
      <c r="AC402" s="23"/>
    </row>
    <row r="403" spans="1:29" ht="12.3">
      <c r="A403" s="23"/>
      <c r="V403" s="23"/>
      <c r="W403" s="23"/>
      <c r="X403" s="23"/>
      <c r="Y403" s="23"/>
      <c r="Z403" s="23"/>
      <c r="AA403" s="23"/>
      <c r="AB403" s="23"/>
      <c r="AC403" s="23"/>
    </row>
    <row r="404" spans="1:29" ht="12.3">
      <c r="A404" s="23"/>
      <c r="V404" s="23"/>
      <c r="W404" s="23"/>
      <c r="X404" s="23"/>
      <c r="Y404" s="23"/>
      <c r="Z404" s="23"/>
      <c r="AA404" s="23"/>
      <c r="AB404" s="23"/>
      <c r="AC404" s="23"/>
    </row>
    <row r="405" spans="1:29" ht="12.3">
      <c r="A405" s="23"/>
      <c r="V405" s="23"/>
      <c r="W405" s="23"/>
      <c r="X405" s="23"/>
      <c r="Y405" s="23"/>
      <c r="Z405" s="23"/>
      <c r="AA405" s="23"/>
      <c r="AB405" s="23"/>
      <c r="AC405" s="23"/>
    </row>
    <row r="406" spans="1:29" ht="12.3">
      <c r="A406" s="23"/>
      <c r="V406" s="23"/>
      <c r="W406" s="23"/>
      <c r="X406" s="23"/>
      <c r="Y406" s="23"/>
      <c r="Z406" s="23"/>
      <c r="AA406" s="23"/>
      <c r="AB406" s="23"/>
      <c r="AC406" s="23"/>
    </row>
    <row r="407" spans="1:29" ht="12.3">
      <c r="A407" s="23"/>
      <c r="V407" s="23"/>
      <c r="W407" s="23"/>
      <c r="X407" s="23"/>
      <c r="Y407" s="23"/>
      <c r="Z407" s="23"/>
      <c r="AA407" s="23"/>
      <c r="AB407" s="23"/>
      <c r="AC407" s="23"/>
    </row>
    <row r="408" spans="1:29" ht="12.3">
      <c r="A408" s="23"/>
      <c r="V408" s="23"/>
      <c r="W408" s="23"/>
      <c r="X408" s="23"/>
      <c r="Y408" s="23"/>
      <c r="Z408" s="23"/>
      <c r="AA408" s="23"/>
      <c r="AB408" s="23"/>
      <c r="AC408" s="23"/>
    </row>
    <row r="409" spans="1:29" ht="12.3">
      <c r="A409" s="23"/>
      <c r="V409" s="23"/>
      <c r="W409" s="23"/>
      <c r="X409" s="23"/>
      <c r="Y409" s="23"/>
      <c r="Z409" s="23"/>
      <c r="AA409" s="23"/>
      <c r="AB409" s="23"/>
      <c r="AC409" s="23"/>
    </row>
    <row r="410" spans="1:29" ht="12.3">
      <c r="A410" s="23"/>
      <c r="V410" s="23"/>
      <c r="W410" s="23"/>
      <c r="X410" s="23"/>
      <c r="Y410" s="23"/>
      <c r="Z410" s="23"/>
      <c r="AA410" s="23"/>
      <c r="AB410" s="23"/>
      <c r="AC410" s="23"/>
    </row>
    <row r="411" spans="1:29" ht="12.3">
      <c r="A411" s="23"/>
      <c r="V411" s="23"/>
      <c r="W411" s="23"/>
      <c r="X411" s="23"/>
      <c r="Y411" s="23"/>
      <c r="Z411" s="23"/>
      <c r="AA411" s="23"/>
      <c r="AB411" s="23"/>
      <c r="AC411" s="23"/>
    </row>
    <row r="412" spans="1:29" ht="12.3">
      <c r="A412" s="23"/>
      <c r="V412" s="23"/>
      <c r="W412" s="23"/>
      <c r="X412" s="23"/>
      <c r="Y412" s="23"/>
      <c r="Z412" s="23"/>
      <c r="AA412" s="23"/>
      <c r="AB412" s="23"/>
      <c r="AC412" s="23"/>
    </row>
    <row r="413" spans="1:29" ht="12.3">
      <c r="A413" s="23"/>
      <c r="V413" s="23"/>
      <c r="W413" s="23"/>
      <c r="X413" s="23"/>
      <c r="Y413" s="23"/>
      <c r="Z413" s="23"/>
      <c r="AA413" s="23"/>
      <c r="AB413" s="23"/>
      <c r="AC413" s="23"/>
    </row>
    <row r="414" spans="1:29" ht="12.3">
      <c r="A414" s="23"/>
      <c r="V414" s="23"/>
      <c r="W414" s="23"/>
      <c r="X414" s="23"/>
      <c r="Y414" s="23"/>
      <c r="Z414" s="23"/>
      <c r="AA414" s="23"/>
      <c r="AB414" s="23"/>
      <c r="AC414" s="23"/>
    </row>
    <row r="415" spans="1:29" ht="12.3">
      <c r="A415" s="23"/>
      <c r="V415" s="23"/>
      <c r="W415" s="23"/>
      <c r="X415" s="23"/>
      <c r="Y415" s="23"/>
      <c r="Z415" s="23"/>
      <c r="AA415" s="23"/>
      <c r="AB415" s="23"/>
      <c r="AC415" s="23"/>
    </row>
    <row r="416" spans="1:29" ht="12.3">
      <c r="A416" s="23"/>
      <c r="V416" s="23"/>
      <c r="W416" s="23"/>
      <c r="X416" s="23"/>
      <c r="Y416" s="23"/>
      <c r="Z416" s="23"/>
      <c r="AA416" s="23"/>
      <c r="AB416" s="23"/>
      <c r="AC416" s="23"/>
    </row>
    <row r="417" spans="1:29" ht="12.3">
      <c r="A417" s="23"/>
      <c r="V417" s="23"/>
      <c r="W417" s="23"/>
      <c r="X417" s="23"/>
      <c r="Y417" s="23"/>
      <c r="Z417" s="23"/>
      <c r="AA417" s="23"/>
      <c r="AB417" s="23"/>
      <c r="AC417" s="23"/>
    </row>
    <row r="418" spans="1:29" ht="12.3">
      <c r="A418" s="23"/>
      <c r="V418" s="23"/>
      <c r="W418" s="23"/>
      <c r="X418" s="23"/>
      <c r="Y418" s="23"/>
      <c r="Z418" s="23"/>
      <c r="AA418" s="23"/>
      <c r="AB418" s="23"/>
      <c r="AC418" s="23"/>
    </row>
    <row r="419" spans="1:29" ht="12.3">
      <c r="A419" s="23"/>
      <c r="V419" s="23"/>
      <c r="W419" s="23"/>
      <c r="X419" s="23"/>
      <c r="Y419" s="23"/>
      <c r="Z419" s="23"/>
      <c r="AA419" s="23"/>
      <c r="AB419" s="23"/>
      <c r="AC419" s="23"/>
    </row>
    <row r="420" spans="1:29" ht="12.3">
      <c r="A420" s="23"/>
      <c r="V420" s="23"/>
      <c r="W420" s="23"/>
      <c r="X420" s="23"/>
      <c r="Y420" s="23"/>
      <c r="Z420" s="23"/>
      <c r="AA420" s="23"/>
      <c r="AB420" s="23"/>
      <c r="AC420" s="23"/>
    </row>
    <row r="421" spans="1:29" ht="12.3">
      <c r="A421" s="23"/>
      <c r="V421" s="23"/>
      <c r="W421" s="23"/>
      <c r="X421" s="23"/>
      <c r="Y421" s="23"/>
      <c r="Z421" s="23"/>
      <c r="AA421" s="23"/>
      <c r="AB421" s="23"/>
      <c r="AC421" s="23"/>
    </row>
    <row r="422" spans="1:29" ht="12.3">
      <c r="A422" s="23"/>
      <c r="V422" s="23"/>
      <c r="W422" s="23"/>
      <c r="X422" s="23"/>
      <c r="Y422" s="23"/>
      <c r="Z422" s="23"/>
      <c r="AA422" s="23"/>
      <c r="AB422" s="23"/>
      <c r="AC422" s="23"/>
    </row>
    <row r="423" spans="1:29" ht="12.3">
      <c r="A423" s="23"/>
      <c r="V423" s="23"/>
      <c r="W423" s="23"/>
      <c r="X423" s="23"/>
      <c r="Y423" s="23"/>
      <c r="Z423" s="23"/>
      <c r="AA423" s="23"/>
      <c r="AB423" s="23"/>
      <c r="AC423" s="23"/>
    </row>
    <row r="424" spans="1:29" ht="12.3">
      <c r="A424" s="23"/>
      <c r="V424" s="23"/>
      <c r="W424" s="23"/>
      <c r="X424" s="23"/>
      <c r="Y424" s="23"/>
      <c r="Z424" s="23"/>
      <c r="AA424" s="23"/>
      <c r="AB424" s="23"/>
      <c r="AC424" s="23"/>
    </row>
    <row r="425" spans="1:29" ht="12.3">
      <c r="A425" s="23"/>
      <c r="V425" s="23"/>
      <c r="W425" s="23"/>
      <c r="X425" s="23"/>
      <c r="Y425" s="23"/>
      <c r="Z425" s="23"/>
      <c r="AA425" s="23"/>
      <c r="AB425" s="23"/>
      <c r="AC425" s="23"/>
    </row>
    <row r="426" spans="1:29" ht="12.3">
      <c r="A426" s="23"/>
      <c r="V426" s="23"/>
      <c r="W426" s="23"/>
      <c r="X426" s="23"/>
      <c r="Y426" s="23"/>
      <c r="Z426" s="23"/>
      <c r="AA426" s="23"/>
      <c r="AB426" s="23"/>
      <c r="AC426" s="23"/>
    </row>
    <row r="427" spans="1:29" ht="12.3">
      <c r="A427" s="23"/>
      <c r="V427" s="23"/>
      <c r="W427" s="23"/>
      <c r="X427" s="23"/>
      <c r="Y427" s="23"/>
      <c r="Z427" s="23"/>
      <c r="AA427" s="23"/>
      <c r="AB427" s="23"/>
      <c r="AC427" s="23"/>
    </row>
    <row r="428" spans="1:29" ht="12.3">
      <c r="A428" s="23"/>
      <c r="V428" s="23"/>
      <c r="W428" s="23"/>
      <c r="X428" s="23"/>
      <c r="Y428" s="23"/>
      <c r="Z428" s="23"/>
      <c r="AA428" s="23"/>
      <c r="AB428" s="23"/>
      <c r="AC428" s="23"/>
    </row>
    <row r="429" spans="1:29" ht="12.3">
      <c r="A429" s="23"/>
      <c r="V429" s="23"/>
      <c r="W429" s="23"/>
      <c r="X429" s="23"/>
      <c r="Y429" s="23"/>
      <c r="Z429" s="23"/>
      <c r="AA429" s="23"/>
      <c r="AB429" s="23"/>
      <c r="AC429" s="23"/>
    </row>
    <row r="430" spans="1:29" ht="12.3">
      <c r="A430" s="23"/>
      <c r="V430" s="23"/>
      <c r="W430" s="23"/>
      <c r="X430" s="23"/>
      <c r="Y430" s="23"/>
      <c r="Z430" s="23"/>
      <c r="AA430" s="23"/>
      <c r="AB430" s="23"/>
      <c r="AC430" s="23"/>
    </row>
    <row r="431" spans="1:29" ht="12.3">
      <c r="A431" s="23"/>
      <c r="V431" s="23"/>
      <c r="W431" s="23"/>
      <c r="X431" s="23"/>
      <c r="Y431" s="23"/>
      <c r="Z431" s="23"/>
      <c r="AA431" s="23"/>
      <c r="AB431" s="23"/>
      <c r="AC431" s="23"/>
    </row>
    <row r="432" spans="1:29" ht="12.3">
      <c r="A432" s="23"/>
      <c r="V432" s="23"/>
      <c r="W432" s="23"/>
      <c r="X432" s="23"/>
      <c r="Y432" s="23"/>
      <c r="Z432" s="23"/>
      <c r="AA432" s="23"/>
      <c r="AB432" s="23"/>
      <c r="AC432" s="23"/>
    </row>
    <row r="433" spans="1:29" ht="12.3">
      <c r="A433" s="23"/>
      <c r="V433" s="23"/>
      <c r="W433" s="23"/>
      <c r="X433" s="23"/>
      <c r="Y433" s="23"/>
      <c r="Z433" s="23"/>
      <c r="AA433" s="23"/>
      <c r="AB433" s="23"/>
      <c r="AC433" s="23"/>
    </row>
    <row r="434" spans="1:29" ht="12.3">
      <c r="A434" s="23"/>
      <c r="V434" s="23"/>
      <c r="W434" s="23"/>
      <c r="X434" s="23"/>
      <c r="Y434" s="23"/>
      <c r="Z434" s="23"/>
      <c r="AA434" s="23"/>
      <c r="AB434" s="23"/>
      <c r="AC434" s="23"/>
    </row>
    <row r="435" spans="1:29" ht="12.3">
      <c r="A435" s="23"/>
      <c r="V435" s="23"/>
      <c r="W435" s="23"/>
      <c r="X435" s="23"/>
      <c r="Y435" s="23"/>
      <c r="Z435" s="23"/>
      <c r="AA435" s="23"/>
      <c r="AB435" s="23"/>
      <c r="AC435" s="23"/>
    </row>
    <row r="436" spans="1:29" ht="12.3">
      <c r="A436" s="23"/>
      <c r="V436" s="23"/>
      <c r="W436" s="23"/>
      <c r="X436" s="23"/>
      <c r="Y436" s="23"/>
      <c r="Z436" s="23"/>
      <c r="AA436" s="23"/>
      <c r="AB436" s="23"/>
      <c r="AC436" s="23"/>
    </row>
    <row r="437" spans="1:29" ht="12.3">
      <c r="A437" s="23"/>
      <c r="V437" s="23"/>
      <c r="W437" s="23"/>
      <c r="X437" s="23"/>
      <c r="Y437" s="23"/>
      <c r="Z437" s="23"/>
      <c r="AA437" s="23"/>
      <c r="AB437" s="23"/>
      <c r="AC437" s="23"/>
    </row>
    <row r="438" spans="1:29" ht="12.3">
      <c r="A438" s="23"/>
      <c r="V438" s="23"/>
      <c r="W438" s="23"/>
      <c r="X438" s="23"/>
      <c r="Y438" s="23"/>
      <c r="Z438" s="23"/>
      <c r="AA438" s="23"/>
      <c r="AB438" s="23"/>
      <c r="AC438" s="23"/>
    </row>
    <row r="439" spans="1:29" ht="12.3">
      <c r="A439" s="23"/>
      <c r="V439" s="23"/>
      <c r="W439" s="23"/>
      <c r="X439" s="23"/>
      <c r="Y439" s="23"/>
      <c r="Z439" s="23"/>
      <c r="AA439" s="23"/>
      <c r="AB439" s="23"/>
      <c r="AC439" s="23"/>
    </row>
    <row r="440" spans="1:29" ht="12.3">
      <c r="A440" s="23"/>
      <c r="V440" s="23"/>
      <c r="W440" s="23"/>
      <c r="X440" s="23"/>
      <c r="Y440" s="23"/>
      <c r="Z440" s="23"/>
      <c r="AA440" s="23"/>
      <c r="AB440" s="23"/>
      <c r="AC440" s="23"/>
    </row>
    <row r="441" spans="1:29" ht="12.3">
      <c r="A441" s="23"/>
      <c r="V441" s="23"/>
      <c r="W441" s="23"/>
      <c r="X441" s="23"/>
      <c r="Y441" s="23"/>
      <c r="Z441" s="23"/>
      <c r="AA441" s="23"/>
      <c r="AB441" s="23"/>
      <c r="AC441" s="23"/>
    </row>
    <row r="442" spans="1:29" ht="12.3">
      <c r="A442" s="23"/>
      <c r="V442" s="23"/>
      <c r="W442" s="23"/>
      <c r="X442" s="23"/>
      <c r="Y442" s="23"/>
      <c r="Z442" s="23"/>
      <c r="AA442" s="23"/>
      <c r="AB442" s="23"/>
      <c r="AC442" s="23"/>
    </row>
    <row r="443" spans="1:29" ht="12.3">
      <c r="A443" s="23"/>
      <c r="V443" s="23"/>
      <c r="W443" s="23"/>
      <c r="X443" s="23"/>
      <c r="Y443" s="23"/>
      <c r="Z443" s="23"/>
      <c r="AA443" s="23"/>
      <c r="AB443" s="23"/>
      <c r="AC443" s="23"/>
    </row>
    <row r="444" spans="1:29" ht="12.3">
      <c r="A444" s="23"/>
      <c r="V444" s="23"/>
      <c r="W444" s="23"/>
      <c r="X444" s="23"/>
      <c r="Y444" s="23"/>
      <c r="Z444" s="23"/>
      <c r="AA444" s="23"/>
      <c r="AB444" s="23"/>
      <c r="AC444" s="23"/>
    </row>
    <row r="445" spans="1:29" ht="12.3">
      <c r="A445" s="23"/>
      <c r="V445" s="23"/>
      <c r="W445" s="23"/>
      <c r="X445" s="23"/>
      <c r="Y445" s="23"/>
      <c r="Z445" s="23"/>
      <c r="AA445" s="23"/>
      <c r="AB445" s="23"/>
      <c r="AC445" s="23"/>
    </row>
    <row r="446" spans="1:29" ht="12.3">
      <c r="A446" s="23"/>
      <c r="V446" s="23"/>
      <c r="W446" s="23"/>
      <c r="X446" s="23"/>
      <c r="Y446" s="23"/>
      <c r="Z446" s="23"/>
      <c r="AA446" s="23"/>
      <c r="AB446" s="23"/>
      <c r="AC446" s="23"/>
    </row>
    <row r="447" spans="1:29" ht="12.3">
      <c r="A447" s="23"/>
      <c r="V447" s="23"/>
      <c r="W447" s="23"/>
      <c r="X447" s="23"/>
      <c r="Y447" s="23"/>
      <c r="Z447" s="23"/>
      <c r="AA447" s="23"/>
      <c r="AB447" s="23"/>
      <c r="AC447" s="23"/>
    </row>
    <row r="448" spans="1:29" ht="12.3">
      <c r="A448" s="23"/>
      <c r="V448" s="23"/>
      <c r="W448" s="23"/>
      <c r="X448" s="23"/>
      <c r="Y448" s="23"/>
      <c r="Z448" s="23"/>
      <c r="AA448" s="23"/>
      <c r="AB448" s="23"/>
      <c r="AC448" s="23"/>
    </row>
    <row r="449" spans="1:29" ht="12.3">
      <c r="A449" s="23"/>
      <c r="V449" s="23"/>
      <c r="W449" s="23"/>
      <c r="X449" s="23"/>
      <c r="Y449" s="23"/>
      <c r="Z449" s="23"/>
      <c r="AA449" s="23"/>
      <c r="AB449" s="23"/>
      <c r="AC449" s="23"/>
    </row>
    <row r="450" spans="1:29" ht="12.3">
      <c r="A450" s="23"/>
      <c r="V450" s="23"/>
      <c r="W450" s="23"/>
      <c r="X450" s="23"/>
      <c r="Y450" s="23"/>
      <c r="Z450" s="23"/>
      <c r="AA450" s="23"/>
      <c r="AB450" s="23"/>
      <c r="AC450" s="23"/>
    </row>
    <row r="451" spans="1:29" ht="12.3">
      <c r="A451" s="23"/>
      <c r="V451" s="23"/>
      <c r="W451" s="23"/>
      <c r="X451" s="23"/>
      <c r="Y451" s="23"/>
      <c r="Z451" s="23"/>
      <c r="AA451" s="23"/>
      <c r="AB451" s="23"/>
      <c r="AC451" s="23"/>
    </row>
    <row r="452" spans="1:29" ht="12.3">
      <c r="A452" s="23"/>
      <c r="V452" s="23"/>
      <c r="W452" s="23"/>
      <c r="X452" s="23"/>
      <c r="Y452" s="23"/>
      <c r="Z452" s="23"/>
      <c r="AA452" s="23"/>
      <c r="AB452" s="23"/>
      <c r="AC452" s="23"/>
    </row>
    <row r="453" spans="1:29" ht="12.3">
      <c r="A453" s="23"/>
      <c r="V453" s="23"/>
      <c r="W453" s="23"/>
      <c r="X453" s="23"/>
      <c r="Y453" s="23"/>
      <c r="Z453" s="23"/>
      <c r="AA453" s="23"/>
      <c r="AB453" s="23"/>
      <c r="AC453" s="23"/>
    </row>
    <row r="454" spans="1:29" ht="12.3">
      <c r="A454" s="23"/>
      <c r="V454" s="23"/>
      <c r="W454" s="23"/>
      <c r="X454" s="23"/>
      <c r="Y454" s="23"/>
      <c r="Z454" s="23"/>
      <c r="AA454" s="23"/>
      <c r="AB454" s="23"/>
      <c r="AC454" s="23"/>
    </row>
    <row r="455" spans="1:29" ht="12.3">
      <c r="A455" s="23"/>
      <c r="V455" s="23"/>
      <c r="W455" s="23"/>
      <c r="X455" s="23"/>
      <c r="Y455" s="23"/>
      <c r="Z455" s="23"/>
      <c r="AA455" s="23"/>
      <c r="AB455" s="23"/>
      <c r="AC455" s="23"/>
    </row>
    <row r="456" spans="1:29" ht="12.3">
      <c r="A456" s="23"/>
      <c r="V456" s="23"/>
      <c r="W456" s="23"/>
      <c r="X456" s="23"/>
      <c r="Y456" s="23"/>
      <c r="Z456" s="23"/>
      <c r="AA456" s="23"/>
      <c r="AB456" s="23"/>
      <c r="AC456" s="23"/>
    </row>
    <row r="457" spans="1:29" ht="12.3">
      <c r="A457" s="23"/>
      <c r="V457" s="23"/>
      <c r="W457" s="23"/>
      <c r="X457" s="23"/>
      <c r="Y457" s="23"/>
      <c r="Z457" s="23"/>
      <c r="AA457" s="23"/>
      <c r="AB457" s="23"/>
      <c r="AC457" s="23"/>
    </row>
    <row r="458" spans="1:29" ht="12.3">
      <c r="A458" s="23"/>
      <c r="V458" s="23"/>
      <c r="W458" s="23"/>
      <c r="X458" s="23"/>
      <c r="Y458" s="23"/>
      <c r="Z458" s="23"/>
      <c r="AA458" s="23"/>
      <c r="AB458" s="23"/>
      <c r="AC458" s="23"/>
    </row>
    <row r="459" spans="1:29" ht="12.3">
      <c r="A459" s="23"/>
      <c r="V459" s="23"/>
      <c r="W459" s="23"/>
      <c r="X459" s="23"/>
      <c r="Y459" s="23"/>
      <c r="Z459" s="23"/>
      <c r="AA459" s="23"/>
      <c r="AB459" s="23"/>
      <c r="AC459" s="23"/>
    </row>
    <row r="460" spans="1:29" ht="12.3">
      <c r="A460" s="23"/>
      <c r="V460" s="23"/>
      <c r="W460" s="23"/>
      <c r="X460" s="23"/>
      <c r="Y460" s="23"/>
      <c r="Z460" s="23"/>
      <c r="AA460" s="23"/>
      <c r="AB460" s="23"/>
      <c r="AC460" s="23"/>
    </row>
    <row r="461" spans="1:29" ht="12.3">
      <c r="A461" s="23"/>
      <c r="V461" s="23"/>
      <c r="W461" s="23"/>
      <c r="X461" s="23"/>
      <c r="Y461" s="23"/>
      <c r="Z461" s="23"/>
      <c r="AA461" s="23"/>
      <c r="AB461" s="23"/>
      <c r="AC461" s="23"/>
    </row>
    <row r="462" spans="1:29" ht="12.3">
      <c r="A462" s="23"/>
      <c r="V462" s="23"/>
      <c r="W462" s="23"/>
      <c r="X462" s="23"/>
      <c r="Y462" s="23"/>
      <c r="Z462" s="23"/>
      <c r="AA462" s="23"/>
      <c r="AB462" s="23"/>
      <c r="AC462" s="23"/>
    </row>
    <row r="463" spans="1:29" ht="12.3">
      <c r="A463" s="23"/>
      <c r="V463" s="23"/>
      <c r="W463" s="23"/>
      <c r="X463" s="23"/>
      <c r="Y463" s="23"/>
      <c r="Z463" s="23"/>
      <c r="AA463" s="23"/>
      <c r="AB463" s="23"/>
      <c r="AC463" s="23"/>
    </row>
    <row r="464" spans="1:29" ht="12.3">
      <c r="A464" s="23"/>
      <c r="V464" s="23"/>
      <c r="W464" s="23"/>
      <c r="X464" s="23"/>
      <c r="Y464" s="23"/>
      <c r="Z464" s="23"/>
      <c r="AA464" s="23"/>
      <c r="AB464" s="23"/>
      <c r="AC464" s="23"/>
    </row>
    <row r="465" spans="1:29" ht="12.3">
      <c r="A465" s="23"/>
      <c r="V465" s="23"/>
      <c r="W465" s="23"/>
      <c r="X465" s="23"/>
      <c r="Y465" s="23"/>
      <c r="Z465" s="23"/>
      <c r="AA465" s="23"/>
      <c r="AB465" s="23"/>
      <c r="AC465" s="23"/>
    </row>
    <row r="466" spans="1:29" ht="12.3">
      <c r="A466" s="23"/>
      <c r="V466" s="23"/>
      <c r="W466" s="23"/>
      <c r="X466" s="23"/>
      <c r="Y466" s="23"/>
      <c r="Z466" s="23"/>
      <c r="AA466" s="23"/>
      <c r="AB466" s="23"/>
      <c r="AC466" s="23"/>
    </row>
    <row r="467" spans="1:29" ht="12.3">
      <c r="A467" s="23"/>
      <c r="V467" s="23"/>
      <c r="W467" s="23"/>
      <c r="X467" s="23"/>
      <c r="Y467" s="23"/>
      <c r="Z467" s="23"/>
      <c r="AA467" s="23"/>
      <c r="AB467" s="23"/>
      <c r="AC467" s="23"/>
    </row>
    <row r="468" spans="1:29" ht="12.3">
      <c r="A468" s="23"/>
      <c r="V468" s="23"/>
      <c r="W468" s="23"/>
      <c r="X468" s="23"/>
      <c r="Y468" s="23"/>
      <c r="Z468" s="23"/>
      <c r="AA468" s="23"/>
      <c r="AB468" s="23"/>
      <c r="AC468" s="23"/>
    </row>
    <row r="469" spans="1:29" ht="12.3">
      <c r="A469" s="23"/>
      <c r="V469" s="23"/>
      <c r="W469" s="23"/>
      <c r="X469" s="23"/>
      <c r="Y469" s="23"/>
      <c r="Z469" s="23"/>
      <c r="AA469" s="23"/>
      <c r="AB469" s="23"/>
      <c r="AC469" s="23"/>
    </row>
    <row r="470" spans="1:29" ht="12.3">
      <c r="A470" s="23"/>
      <c r="V470" s="23"/>
      <c r="W470" s="23"/>
      <c r="X470" s="23"/>
      <c r="Y470" s="23"/>
      <c r="Z470" s="23"/>
      <c r="AA470" s="23"/>
      <c r="AB470" s="23"/>
      <c r="AC470" s="23"/>
    </row>
    <row r="471" spans="1:29" ht="12.3">
      <c r="A471" s="23"/>
      <c r="V471" s="23"/>
      <c r="W471" s="23"/>
      <c r="X471" s="23"/>
      <c r="Y471" s="23"/>
      <c r="Z471" s="23"/>
      <c r="AA471" s="23"/>
      <c r="AB471" s="23"/>
      <c r="AC471" s="23"/>
    </row>
    <row r="472" spans="1:29" ht="12.3">
      <c r="A472" s="23"/>
      <c r="V472" s="23"/>
      <c r="W472" s="23"/>
      <c r="X472" s="23"/>
      <c r="Y472" s="23"/>
      <c r="Z472" s="23"/>
      <c r="AA472" s="23"/>
      <c r="AB472" s="23"/>
      <c r="AC472" s="23"/>
    </row>
    <row r="473" spans="1:29" ht="12.3">
      <c r="A473" s="23"/>
      <c r="V473" s="23"/>
      <c r="W473" s="23"/>
      <c r="X473" s="23"/>
      <c r="Y473" s="23"/>
      <c r="Z473" s="23"/>
      <c r="AA473" s="23"/>
      <c r="AB473" s="23"/>
      <c r="AC473" s="23"/>
    </row>
    <row r="474" spans="1:29" ht="12.3">
      <c r="A474" s="23"/>
      <c r="V474" s="23"/>
      <c r="W474" s="23"/>
      <c r="X474" s="23"/>
      <c r="Y474" s="23"/>
      <c r="Z474" s="23"/>
      <c r="AA474" s="23"/>
      <c r="AB474" s="23"/>
      <c r="AC474" s="23"/>
    </row>
    <row r="475" spans="1:29" ht="12.3">
      <c r="A475" s="23"/>
      <c r="V475" s="23"/>
      <c r="W475" s="23"/>
      <c r="X475" s="23"/>
      <c r="Y475" s="23"/>
      <c r="Z475" s="23"/>
      <c r="AA475" s="23"/>
      <c r="AB475" s="23"/>
      <c r="AC475" s="23"/>
    </row>
    <row r="476" spans="1:29" ht="12.3">
      <c r="A476" s="23"/>
      <c r="V476" s="23"/>
      <c r="W476" s="23"/>
      <c r="X476" s="23"/>
      <c r="Y476" s="23"/>
      <c r="Z476" s="23"/>
      <c r="AA476" s="23"/>
      <c r="AB476" s="23"/>
      <c r="AC476" s="23"/>
    </row>
    <row r="477" spans="1:29" ht="12.3">
      <c r="A477" s="23"/>
      <c r="V477" s="23"/>
      <c r="W477" s="23"/>
      <c r="X477" s="23"/>
      <c r="Y477" s="23"/>
      <c r="Z477" s="23"/>
      <c r="AA477" s="23"/>
      <c r="AB477" s="23"/>
      <c r="AC477" s="23"/>
    </row>
    <row r="478" spans="1:29" ht="12.3">
      <c r="A478" s="23"/>
      <c r="V478" s="23"/>
      <c r="W478" s="23"/>
      <c r="X478" s="23"/>
      <c r="Y478" s="23"/>
      <c r="Z478" s="23"/>
      <c r="AA478" s="23"/>
      <c r="AB478" s="23"/>
      <c r="AC478" s="23"/>
    </row>
    <row r="479" spans="1:29" ht="12.3">
      <c r="A479" s="23"/>
      <c r="V479" s="23"/>
      <c r="W479" s="23"/>
      <c r="X479" s="23"/>
      <c r="Y479" s="23"/>
      <c r="Z479" s="23"/>
      <c r="AA479" s="23"/>
      <c r="AB479" s="23"/>
      <c r="AC479" s="23"/>
    </row>
    <row r="480" spans="1:29" ht="12.3">
      <c r="A480" s="23"/>
      <c r="V480" s="23"/>
      <c r="W480" s="23"/>
      <c r="X480" s="23"/>
      <c r="Y480" s="23"/>
      <c r="Z480" s="23"/>
      <c r="AA480" s="23"/>
      <c r="AB480" s="23"/>
      <c r="AC480" s="23"/>
    </row>
    <row r="481" spans="1:29" ht="12.3">
      <c r="A481" s="23"/>
      <c r="V481" s="23"/>
      <c r="W481" s="23"/>
      <c r="X481" s="23"/>
      <c r="Y481" s="23"/>
      <c r="Z481" s="23"/>
      <c r="AA481" s="23"/>
      <c r="AB481" s="23"/>
      <c r="AC481" s="23"/>
    </row>
    <row r="482" spans="1:29" ht="12.3">
      <c r="A482" s="23"/>
      <c r="V482" s="23"/>
      <c r="W482" s="23"/>
      <c r="X482" s="23"/>
      <c r="Y482" s="23"/>
      <c r="Z482" s="23"/>
      <c r="AA482" s="23"/>
      <c r="AB482" s="23"/>
      <c r="AC482" s="23"/>
    </row>
    <row r="483" spans="1:29" ht="12.3">
      <c r="A483" s="23"/>
      <c r="V483" s="23"/>
      <c r="W483" s="23"/>
      <c r="X483" s="23"/>
      <c r="Y483" s="23"/>
      <c r="Z483" s="23"/>
      <c r="AA483" s="23"/>
      <c r="AB483" s="23"/>
      <c r="AC483" s="23"/>
    </row>
    <row r="484" spans="1:29" ht="12.3">
      <c r="A484" s="23"/>
      <c r="V484" s="23"/>
      <c r="W484" s="23"/>
      <c r="X484" s="23"/>
      <c r="Y484" s="23"/>
      <c r="Z484" s="23"/>
      <c r="AA484" s="23"/>
      <c r="AB484" s="23"/>
      <c r="AC484" s="23"/>
    </row>
    <row r="485" spans="1:29" ht="12.3">
      <c r="A485" s="23"/>
      <c r="V485" s="23"/>
      <c r="W485" s="23"/>
      <c r="X485" s="23"/>
      <c r="Y485" s="23"/>
      <c r="Z485" s="23"/>
      <c r="AA485" s="23"/>
      <c r="AB485" s="23"/>
      <c r="AC485" s="23"/>
    </row>
    <row r="486" spans="1:29" ht="12.3">
      <c r="A486" s="23"/>
      <c r="V486" s="23"/>
      <c r="W486" s="23"/>
      <c r="X486" s="23"/>
      <c r="Y486" s="23"/>
      <c r="Z486" s="23"/>
      <c r="AA486" s="23"/>
      <c r="AB486" s="23"/>
      <c r="AC486" s="23"/>
    </row>
    <row r="487" spans="1:29" ht="12.3">
      <c r="A487" s="23"/>
      <c r="V487" s="23"/>
      <c r="W487" s="23"/>
      <c r="X487" s="23"/>
      <c r="Y487" s="23"/>
      <c r="Z487" s="23"/>
      <c r="AA487" s="23"/>
      <c r="AB487" s="23"/>
      <c r="AC487" s="23"/>
    </row>
    <row r="488" spans="1:29" ht="12.3">
      <c r="A488" s="23"/>
      <c r="V488" s="23"/>
      <c r="W488" s="23"/>
      <c r="X488" s="23"/>
      <c r="Y488" s="23"/>
      <c r="Z488" s="23"/>
      <c r="AA488" s="23"/>
      <c r="AB488" s="23"/>
      <c r="AC488" s="23"/>
    </row>
    <row r="489" spans="1:29" ht="12.3">
      <c r="A489" s="23"/>
      <c r="V489" s="23"/>
      <c r="W489" s="23"/>
      <c r="X489" s="23"/>
      <c r="Y489" s="23"/>
      <c r="Z489" s="23"/>
      <c r="AA489" s="23"/>
      <c r="AB489" s="23"/>
      <c r="AC489" s="23"/>
    </row>
    <row r="490" spans="1:29" ht="12.3">
      <c r="A490" s="23"/>
      <c r="V490" s="23"/>
      <c r="W490" s="23"/>
      <c r="X490" s="23"/>
      <c r="Y490" s="23"/>
      <c r="Z490" s="23"/>
      <c r="AA490" s="23"/>
      <c r="AB490" s="23"/>
      <c r="AC490" s="23"/>
    </row>
    <row r="491" spans="1:29" ht="12.3">
      <c r="A491" s="23"/>
      <c r="V491" s="23"/>
      <c r="W491" s="23"/>
      <c r="X491" s="23"/>
      <c r="Y491" s="23"/>
      <c r="Z491" s="23"/>
      <c r="AA491" s="23"/>
      <c r="AB491" s="23"/>
      <c r="AC491" s="23"/>
    </row>
    <row r="492" spans="1:29" ht="12.3">
      <c r="A492" s="23"/>
      <c r="V492" s="23"/>
      <c r="W492" s="23"/>
      <c r="X492" s="23"/>
      <c r="Y492" s="23"/>
      <c r="Z492" s="23"/>
      <c r="AA492" s="23"/>
      <c r="AB492" s="23"/>
      <c r="AC492" s="23"/>
    </row>
    <row r="493" spans="1:29" ht="12.3">
      <c r="A493" s="23"/>
      <c r="V493" s="23"/>
      <c r="W493" s="23"/>
      <c r="X493" s="23"/>
      <c r="Y493" s="23"/>
      <c r="Z493" s="23"/>
      <c r="AA493" s="23"/>
      <c r="AB493" s="23"/>
      <c r="AC493" s="23"/>
    </row>
    <row r="494" spans="1:29" ht="12.3">
      <c r="A494" s="23"/>
      <c r="V494" s="23"/>
      <c r="W494" s="23"/>
      <c r="X494" s="23"/>
      <c r="Y494" s="23"/>
      <c r="Z494" s="23"/>
      <c r="AA494" s="23"/>
      <c r="AB494" s="23"/>
      <c r="AC494" s="23"/>
    </row>
    <row r="495" spans="1:29" ht="12.3">
      <c r="A495" s="23"/>
      <c r="V495" s="23"/>
      <c r="W495" s="23"/>
      <c r="X495" s="23"/>
      <c r="Y495" s="23"/>
      <c r="Z495" s="23"/>
      <c r="AA495" s="23"/>
      <c r="AB495" s="23"/>
      <c r="AC495" s="23"/>
    </row>
    <row r="496" spans="1:29" ht="12.3">
      <c r="A496" s="23"/>
      <c r="V496" s="23"/>
      <c r="W496" s="23"/>
      <c r="X496" s="23"/>
      <c r="Y496" s="23"/>
      <c r="Z496" s="23"/>
      <c r="AA496" s="23"/>
      <c r="AB496" s="23"/>
      <c r="AC496" s="23"/>
    </row>
    <row r="497" spans="1:29" ht="12.3">
      <c r="A497" s="23"/>
      <c r="V497" s="23"/>
      <c r="W497" s="23"/>
      <c r="X497" s="23"/>
      <c r="Y497" s="23"/>
      <c r="Z497" s="23"/>
      <c r="AA497" s="23"/>
      <c r="AB497" s="23"/>
      <c r="AC497" s="23"/>
    </row>
    <row r="498" spans="1:29" ht="12.3">
      <c r="A498" s="23"/>
      <c r="V498" s="23"/>
      <c r="W498" s="23"/>
      <c r="X498" s="23"/>
      <c r="Y498" s="23"/>
      <c r="Z498" s="23"/>
      <c r="AA498" s="23"/>
      <c r="AB498" s="23"/>
      <c r="AC498" s="23"/>
    </row>
    <row r="499" spans="1:29" ht="12.3">
      <c r="A499" s="23"/>
      <c r="V499" s="23"/>
      <c r="W499" s="23"/>
      <c r="X499" s="23"/>
      <c r="Y499" s="23"/>
      <c r="Z499" s="23"/>
      <c r="AA499" s="23"/>
      <c r="AB499" s="23"/>
      <c r="AC499" s="23"/>
    </row>
    <row r="500" spans="1:29" ht="12.3">
      <c r="A500" s="23"/>
      <c r="V500" s="23"/>
      <c r="W500" s="23"/>
      <c r="X500" s="23"/>
      <c r="Y500" s="23"/>
      <c r="Z500" s="23"/>
      <c r="AA500" s="23"/>
      <c r="AB500" s="23"/>
      <c r="AC500" s="23"/>
    </row>
    <row r="501" spans="1:29" ht="12.3">
      <c r="A501" s="23"/>
      <c r="V501" s="23"/>
      <c r="W501" s="23"/>
      <c r="X501" s="23"/>
      <c r="Y501" s="23"/>
      <c r="Z501" s="23"/>
      <c r="AA501" s="23"/>
      <c r="AB501" s="23"/>
      <c r="AC501" s="23"/>
    </row>
    <row r="502" spans="1:29" ht="12.3">
      <c r="A502" s="23"/>
      <c r="V502" s="23"/>
      <c r="W502" s="23"/>
      <c r="X502" s="23"/>
      <c r="Y502" s="23"/>
      <c r="Z502" s="23"/>
      <c r="AA502" s="23"/>
      <c r="AB502" s="23"/>
      <c r="AC502" s="23"/>
    </row>
    <row r="503" spans="1:29" ht="12.3">
      <c r="A503" s="23"/>
      <c r="V503" s="23"/>
      <c r="W503" s="23"/>
      <c r="X503" s="23"/>
      <c r="Y503" s="23"/>
      <c r="Z503" s="23"/>
      <c r="AA503" s="23"/>
      <c r="AB503" s="23"/>
      <c r="AC503" s="23"/>
    </row>
    <row r="504" spans="1:29" ht="12.3">
      <c r="A504" s="23"/>
      <c r="V504" s="23"/>
      <c r="W504" s="23"/>
      <c r="X504" s="23"/>
      <c r="Y504" s="23"/>
      <c r="Z504" s="23"/>
      <c r="AA504" s="23"/>
      <c r="AB504" s="23"/>
      <c r="AC504" s="23"/>
    </row>
    <row r="505" spans="1:29" ht="12.3">
      <c r="A505" s="23"/>
      <c r="V505" s="23"/>
      <c r="W505" s="23"/>
      <c r="X505" s="23"/>
      <c r="Y505" s="23"/>
      <c r="Z505" s="23"/>
      <c r="AA505" s="23"/>
      <c r="AB505" s="23"/>
      <c r="AC505" s="23"/>
    </row>
    <row r="506" spans="1:29" ht="12.3">
      <c r="A506" s="23"/>
      <c r="V506" s="23"/>
      <c r="W506" s="23"/>
      <c r="X506" s="23"/>
      <c r="Y506" s="23"/>
      <c r="Z506" s="23"/>
      <c r="AA506" s="23"/>
      <c r="AB506" s="23"/>
      <c r="AC506" s="23"/>
    </row>
    <row r="507" spans="1:29" ht="12.3">
      <c r="A507" s="23"/>
      <c r="V507" s="23"/>
      <c r="W507" s="23"/>
      <c r="X507" s="23"/>
      <c r="Y507" s="23"/>
      <c r="Z507" s="23"/>
      <c r="AA507" s="23"/>
      <c r="AB507" s="23"/>
      <c r="AC507" s="23"/>
    </row>
    <row r="508" spans="1:29" ht="12.3">
      <c r="A508" s="23"/>
      <c r="V508" s="23"/>
      <c r="W508" s="23"/>
      <c r="X508" s="23"/>
      <c r="Y508" s="23"/>
      <c r="Z508" s="23"/>
      <c r="AA508" s="23"/>
      <c r="AB508" s="23"/>
      <c r="AC508" s="23"/>
    </row>
    <row r="509" spans="1:29" ht="12.3">
      <c r="A509" s="23"/>
      <c r="V509" s="23"/>
      <c r="W509" s="23"/>
      <c r="X509" s="23"/>
      <c r="Y509" s="23"/>
      <c r="Z509" s="23"/>
      <c r="AA509" s="23"/>
      <c r="AB509" s="23"/>
      <c r="AC509" s="23"/>
    </row>
    <row r="510" spans="1:29" ht="12.3">
      <c r="A510" s="23"/>
      <c r="V510" s="23"/>
      <c r="W510" s="23"/>
      <c r="X510" s="23"/>
      <c r="Y510" s="23"/>
      <c r="Z510" s="23"/>
      <c r="AA510" s="23"/>
      <c r="AB510" s="23"/>
      <c r="AC510" s="23"/>
    </row>
    <row r="511" spans="1:29" ht="12.3">
      <c r="A511" s="23"/>
      <c r="V511" s="23"/>
      <c r="W511" s="23"/>
      <c r="X511" s="23"/>
      <c r="Y511" s="23"/>
      <c r="Z511" s="23"/>
      <c r="AA511" s="23"/>
      <c r="AB511" s="23"/>
      <c r="AC511" s="23"/>
    </row>
    <row r="512" spans="1:29" ht="12.3">
      <c r="A512" s="23"/>
      <c r="V512" s="23"/>
      <c r="W512" s="23"/>
      <c r="X512" s="23"/>
      <c r="Y512" s="23"/>
      <c r="Z512" s="23"/>
      <c r="AA512" s="23"/>
      <c r="AB512" s="23"/>
      <c r="AC512" s="23"/>
    </row>
    <row r="513" spans="1:29" ht="12.3">
      <c r="A513" s="23"/>
      <c r="V513" s="23"/>
      <c r="W513" s="23"/>
      <c r="X513" s="23"/>
      <c r="Y513" s="23"/>
      <c r="Z513" s="23"/>
      <c r="AA513" s="23"/>
      <c r="AB513" s="23"/>
      <c r="AC513" s="23"/>
    </row>
    <row r="514" spans="1:29" ht="12.3">
      <c r="A514" s="23"/>
      <c r="V514" s="23"/>
      <c r="W514" s="23"/>
      <c r="X514" s="23"/>
      <c r="Y514" s="23"/>
      <c r="Z514" s="23"/>
      <c r="AA514" s="23"/>
      <c r="AB514" s="23"/>
      <c r="AC514" s="23"/>
    </row>
    <row r="515" spans="1:29" ht="12.3">
      <c r="A515" s="23"/>
      <c r="V515" s="23"/>
      <c r="W515" s="23"/>
      <c r="X515" s="23"/>
      <c r="Y515" s="23"/>
      <c r="Z515" s="23"/>
      <c r="AA515" s="23"/>
      <c r="AB515" s="23"/>
      <c r="AC515" s="23"/>
    </row>
    <row r="516" spans="1:29" ht="12.3">
      <c r="A516" s="23"/>
      <c r="V516" s="23"/>
      <c r="W516" s="23"/>
      <c r="X516" s="23"/>
      <c r="Y516" s="23"/>
      <c r="Z516" s="23"/>
      <c r="AA516" s="23"/>
      <c r="AB516" s="23"/>
      <c r="AC516" s="23"/>
    </row>
    <row r="517" spans="1:29" ht="12.3">
      <c r="A517" s="23"/>
      <c r="V517" s="23"/>
      <c r="W517" s="23"/>
      <c r="X517" s="23"/>
      <c r="Y517" s="23"/>
      <c r="Z517" s="23"/>
      <c r="AA517" s="23"/>
      <c r="AB517" s="23"/>
      <c r="AC517" s="23"/>
    </row>
    <row r="518" spans="1:29" ht="12.3">
      <c r="A518" s="23"/>
      <c r="V518" s="23"/>
      <c r="W518" s="23"/>
      <c r="X518" s="23"/>
      <c r="Y518" s="23"/>
      <c r="Z518" s="23"/>
      <c r="AA518" s="23"/>
      <c r="AB518" s="23"/>
      <c r="AC518" s="23"/>
    </row>
    <row r="519" spans="1:29" ht="12.3">
      <c r="A519" s="23"/>
      <c r="V519" s="23"/>
      <c r="W519" s="23"/>
      <c r="X519" s="23"/>
      <c r="Y519" s="23"/>
      <c r="Z519" s="23"/>
      <c r="AA519" s="23"/>
      <c r="AB519" s="23"/>
      <c r="AC519" s="23"/>
    </row>
    <row r="520" spans="1:29" ht="12.3">
      <c r="A520" s="23"/>
      <c r="V520" s="23"/>
      <c r="W520" s="23"/>
      <c r="X520" s="23"/>
      <c r="Y520" s="23"/>
      <c r="Z520" s="23"/>
      <c r="AA520" s="23"/>
      <c r="AB520" s="23"/>
      <c r="AC520" s="23"/>
    </row>
    <row r="521" spans="1:29" ht="12.3">
      <c r="A521" s="23"/>
      <c r="V521" s="23"/>
      <c r="W521" s="23"/>
      <c r="X521" s="23"/>
      <c r="Y521" s="23"/>
      <c r="Z521" s="23"/>
      <c r="AA521" s="23"/>
      <c r="AB521" s="23"/>
      <c r="AC521" s="23"/>
    </row>
    <row r="522" spans="1:29" ht="12.3">
      <c r="A522" s="23"/>
      <c r="V522" s="23"/>
      <c r="W522" s="23"/>
      <c r="X522" s="23"/>
      <c r="Y522" s="23"/>
      <c r="Z522" s="23"/>
      <c r="AA522" s="23"/>
      <c r="AB522" s="23"/>
      <c r="AC522" s="23"/>
    </row>
    <row r="523" spans="1:29" ht="12.3">
      <c r="A523" s="23"/>
      <c r="V523" s="23"/>
      <c r="W523" s="23"/>
      <c r="X523" s="23"/>
      <c r="Y523" s="23"/>
      <c r="Z523" s="23"/>
      <c r="AA523" s="23"/>
      <c r="AB523" s="23"/>
      <c r="AC523" s="23"/>
    </row>
    <row r="524" spans="1:29" ht="12.3">
      <c r="A524" s="23"/>
      <c r="V524" s="23"/>
      <c r="W524" s="23"/>
      <c r="X524" s="23"/>
      <c r="Y524" s="23"/>
      <c r="Z524" s="23"/>
      <c r="AA524" s="23"/>
      <c r="AB524" s="23"/>
      <c r="AC524" s="23"/>
    </row>
    <row r="525" spans="1:29" ht="12.3">
      <c r="A525" s="23"/>
      <c r="V525" s="23"/>
      <c r="W525" s="23"/>
      <c r="X525" s="23"/>
      <c r="Y525" s="23"/>
      <c r="Z525" s="23"/>
      <c r="AA525" s="23"/>
      <c r="AB525" s="23"/>
      <c r="AC525" s="23"/>
    </row>
    <row r="526" spans="1:29" ht="12.3">
      <c r="A526" s="23"/>
      <c r="V526" s="23"/>
      <c r="W526" s="23"/>
      <c r="X526" s="23"/>
      <c r="Y526" s="23"/>
      <c r="Z526" s="23"/>
      <c r="AA526" s="23"/>
      <c r="AB526" s="23"/>
      <c r="AC526" s="23"/>
    </row>
    <row r="527" spans="1:29" ht="12.3">
      <c r="A527" s="23"/>
      <c r="V527" s="23"/>
      <c r="W527" s="23"/>
      <c r="X527" s="23"/>
      <c r="Y527" s="23"/>
      <c r="Z527" s="23"/>
      <c r="AA527" s="23"/>
      <c r="AB527" s="23"/>
      <c r="AC527" s="23"/>
    </row>
    <row r="528" spans="1:29" ht="12.3">
      <c r="A528" s="23"/>
      <c r="V528" s="23"/>
      <c r="W528" s="23"/>
      <c r="X528" s="23"/>
      <c r="Y528" s="23"/>
      <c r="Z528" s="23"/>
      <c r="AA528" s="23"/>
      <c r="AB528" s="23"/>
      <c r="AC528" s="23"/>
    </row>
    <row r="529" spans="1:29" ht="12.3">
      <c r="A529" s="23"/>
      <c r="V529" s="23"/>
      <c r="W529" s="23"/>
      <c r="X529" s="23"/>
      <c r="Y529" s="23"/>
      <c r="Z529" s="23"/>
      <c r="AA529" s="23"/>
      <c r="AB529" s="23"/>
      <c r="AC529" s="23"/>
    </row>
    <row r="530" spans="1:29" ht="12.3">
      <c r="A530" s="23"/>
      <c r="V530" s="23"/>
      <c r="W530" s="23"/>
      <c r="X530" s="23"/>
      <c r="Y530" s="23"/>
      <c r="Z530" s="23"/>
      <c r="AA530" s="23"/>
      <c r="AB530" s="23"/>
      <c r="AC530" s="23"/>
    </row>
    <row r="531" spans="1:29" ht="12.3">
      <c r="A531" s="23"/>
      <c r="V531" s="23"/>
      <c r="W531" s="23"/>
      <c r="X531" s="23"/>
      <c r="Y531" s="23"/>
      <c r="Z531" s="23"/>
      <c r="AA531" s="23"/>
      <c r="AB531" s="23"/>
      <c r="AC531" s="23"/>
    </row>
    <row r="532" spans="1:29" ht="12.3">
      <c r="A532" s="23"/>
      <c r="V532" s="23"/>
      <c r="W532" s="23"/>
      <c r="X532" s="23"/>
      <c r="Y532" s="23"/>
      <c r="Z532" s="23"/>
      <c r="AA532" s="23"/>
      <c r="AB532" s="23"/>
      <c r="AC532" s="23"/>
    </row>
    <row r="533" spans="1:29" ht="12.3">
      <c r="A533" s="23"/>
      <c r="V533" s="23"/>
      <c r="W533" s="23"/>
      <c r="X533" s="23"/>
      <c r="Y533" s="23"/>
      <c r="Z533" s="23"/>
      <c r="AA533" s="23"/>
      <c r="AB533" s="23"/>
      <c r="AC533" s="23"/>
    </row>
    <row r="534" spans="1:29" ht="12.3">
      <c r="A534" s="23"/>
      <c r="V534" s="23"/>
      <c r="W534" s="23"/>
      <c r="X534" s="23"/>
      <c r="Y534" s="23"/>
      <c r="Z534" s="23"/>
      <c r="AA534" s="23"/>
      <c r="AB534" s="23"/>
      <c r="AC534" s="23"/>
    </row>
    <row r="535" spans="1:29" ht="12.3">
      <c r="A535" s="23"/>
      <c r="V535" s="23"/>
      <c r="W535" s="23"/>
      <c r="X535" s="23"/>
      <c r="Y535" s="23"/>
      <c r="Z535" s="23"/>
      <c r="AA535" s="23"/>
      <c r="AB535" s="23"/>
      <c r="AC535" s="23"/>
    </row>
    <row r="536" spans="1:29" ht="12.3">
      <c r="A536" s="23"/>
      <c r="V536" s="23"/>
      <c r="W536" s="23"/>
      <c r="X536" s="23"/>
      <c r="Y536" s="23"/>
      <c r="Z536" s="23"/>
      <c r="AA536" s="23"/>
      <c r="AB536" s="23"/>
      <c r="AC536" s="23"/>
    </row>
    <row r="537" spans="1:29" ht="12.3">
      <c r="A537" s="23"/>
      <c r="V537" s="23"/>
      <c r="W537" s="23"/>
      <c r="X537" s="23"/>
      <c r="Y537" s="23"/>
      <c r="Z537" s="23"/>
      <c r="AA537" s="23"/>
      <c r="AB537" s="23"/>
      <c r="AC537" s="23"/>
    </row>
    <row r="538" spans="1:29" ht="12.3">
      <c r="A538" s="23"/>
      <c r="V538" s="23"/>
      <c r="W538" s="23"/>
      <c r="X538" s="23"/>
      <c r="Y538" s="23"/>
      <c r="Z538" s="23"/>
      <c r="AA538" s="23"/>
      <c r="AB538" s="23"/>
      <c r="AC538" s="23"/>
    </row>
    <row r="539" spans="1:29" ht="12.3">
      <c r="A539" s="23"/>
      <c r="V539" s="23"/>
      <c r="W539" s="23"/>
      <c r="X539" s="23"/>
      <c r="Y539" s="23"/>
      <c r="Z539" s="23"/>
      <c r="AA539" s="23"/>
      <c r="AB539" s="23"/>
      <c r="AC539" s="23"/>
    </row>
    <row r="540" spans="1:29" ht="12.3">
      <c r="A540" s="23"/>
      <c r="V540" s="23"/>
      <c r="W540" s="23"/>
      <c r="X540" s="23"/>
      <c r="Y540" s="23"/>
      <c r="Z540" s="23"/>
      <c r="AA540" s="23"/>
      <c r="AB540" s="23"/>
      <c r="AC540" s="23"/>
    </row>
    <row r="541" spans="1:29" ht="12.3">
      <c r="A541" s="23"/>
      <c r="V541" s="23"/>
      <c r="W541" s="23"/>
      <c r="X541" s="23"/>
      <c r="Y541" s="23"/>
      <c r="Z541" s="23"/>
      <c r="AA541" s="23"/>
      <c r="AB541" s="23"/>
      <c r="AC541" s="23"/>
    </row>
    <row r="542" spans="1:29" ht="12.3">
      <c r="A542" s="23"/>
      <c r="V542" s="23"/>
      <c r="W542" s="23"/>
      <c r="X542" s="23"/>
      <c r="Y542" s="23"/>
      <c r="Z542" s="23"/>
      <c r="AA542" s="23"/>
      <c r="AB542" s="23"/>
      <c r="AC542" s="23"/>
    </row>
    <row r="543" spans="1:29" ht="12.3">
      <c r="A543" s="23"/>
      <c r="V543" s="23"/>
      <c r="W543" s="23"/>
      <c r="X543" s="23"/>
      <c r="Y543" s="23"/>
      <c r="Z543" s="23"/>
      <c r="AA543" s="23"/>
      <c r="AB543" s="23"/>
      <c r="AC543" s="23"/>
    </row>
    <row r="544" spans="1:29" ht="12.3">
      <c r="A544" s="23"/>
      <c r="V544" s="23"/>
      <c r="W544" s="23"/>
      <c r="X544" s="23"/>
      <c r="Y544" s="23"/>
      <c r="Z544" s="23"/>
      <c r="AA544" s="23"/>
      <c r="AB544" s="23"/>
      <c r="AC544" s="23"/>
    </row>
    <row r="545" spans="1:29" ht="12.3">
      <c r="A545" s="23"/>
      <c r="V545" s="23"/>
      <c r="W545" s="23"/>
      <c r="X545" s="23"/>
      <c r="Y545" s="23"/>
      <c r="Z545" s="23"/>
      <c r="AA545" s="23"/>
      <c r="AB545" s="23"/>
      <c r="AC545" s="23"/>
    </row>
    <row r="546" spans="1:29" ht="12.3">
      <c r="A546" s="23"/>
      <c r="V546" s="23"/>
      <c r="W546" s="23"/>
      <c r="X546" s="23"/>
      <c r="Y546" s="23"/>
      <c r="Z546" s="23"/>
      <c r="AA546" s="23"/>
      <c r="AB546" s="23"/>
      <c r="AC546" s="23"/>
    </row>
    <row r="547" spans="1:29" ht="12.3">
      <c r="A547" s="23"/>
      <c r="V547" s="23"/>
      <c r="W547" s="23"/>
      <c r="X547" s="23"/>
      <c r="Y547" s="23"/>
      <c r="Z547" s="23"/>
      <c r="AA547" s="23"/>
      <c r="AB547" s="23"/>
      <c r="AC547" s="23"/>
    </row>
    <row r="548" spans="1:29" ht="12.3">
      <c r="A548" s="23"/>
      <c r="V548" s="23"/>
      <c r="W548" s="23"/>
      <c r="X548" s="23"/>
      <c r="Y548" s="23"/>
      <c r="Z548" s="23"/>
      <c r="AA548" s="23"/>
      <c r="AB548" s="23"/>
      <c r="AC548" s="23"/>
    </row>
    <row r="549" spans="1:29" ht="12.3">
      <c r="A549" s="23"/>
      <c r="V549" s="23"/>
      <c r="W549" s="23"/>
      <c r="X549" s="23"/>
      <c r="Y549" s="23"/>
      <c r="Z549" s="23"/>
      <c r="AA549" s="23"/>
      <c r="AB549" s="23"/>
      <c r="AC549" s="23"/>
    </row>
    <row r="550" spans="1:29" ht="12.3">
      <c r="A550" s="23"/>
      <c r="V550" s="23"/>
      <c r="W550" s="23"/>
      <c r="X550" s="23"/>
      <c r="Y550" s="23"/>
      <c r="Z550" s="23"/>
      <c r="AA550" s="23"/>
      <c r="AB550" s="23"/>
      <c r="AC550" s="23"/>
    </row>
    <row r="551" spans="1:29" ht="12.3">
      <c r="A551" s="23"/>
      <c r="V551" s="23"/>
      <c r="W551" s="23"/>
      <c r="X551" s="23"/>
      <c r="Y551" s="23"/>
      <c r="Z551" s="23"/>
      <c r="AA551" s="23"/>
      <c r="AB551" s="23"/>
      <c r="AC551" s="23"/>
    </row>
    <row r="552" spans="1:29" ht="12.3">
      <c r="A552" s="23"/>
      <c r="V552" s="23"/>
      <c r="W552" s="23"/>
      <c r="X552" s="23"/>
      <c r="Y552" s="23"/>
      <c r="Z552" s="23"/>
      <c r="AA552" s="23"/>
      <c r="AB552" s="23"/>
      <c r="AC552" s="23"/>
    </row>
    <row r="553" spans="1:29" ht="12.3">
      <c r="A553" s="23"/>
      <c r="V553" s="23"/>
      <c r="W553" s="23"/>
      <c r="X553" s="23"/>
      <c r="Y553" s="23"/>
      <c r="Z553" s="23"/>
      <c r="AA553" s="23"/>
      <c r="AB553" s="23"/>
      <c r="AC553" s="23"/>
    </row>
    <row r="554" spans="1:29" ht="12.3">
      <c r="A554" s="23"/>
      <c r="V554" s="23"/>
      <c r="W554" s="23"/>
      <c r="X554" s="23"/>
      <c r="Y554" s="23"/>
      <c r="Z554" s="23"/>
      <c r="AA554" s="23"/>
      <c r="AB554" s="23"/>
      <c r="AC554" s="23"/>
    </row>
    <row r="555" spans="1:29" ht="12.3">
      <c r="A555" s="23"/>
      <c r="V555" s="23"/>
      <c r="W555" s="23"/>
      <c r="X555" s="23"/>
      <c r="Y555" s="23"/>
      <c r="Z555" s="23"/>
      <c r="AA555" s="23"/>
      <c r="AB555" s="23"/>
      <c r="AC555" s="23"/>
    </row>
    <row r="556" spans="1:29" ht="12.3">
      <c r="A556" s="23"/>
      <c r="V556" s="23"/>
      <c r="W556" s="23"/>
      <c r="X556" s="23"/>
      <c r="Y556" s="23"/>
      <c r="Z556" s="23"/>
      <c r="AA556" s="23"/>
      <c r="AB556" s="23"/>
      <c r="AC556" s="23"/>
    </row>
    <row r="557" spans="1:29" ht="12.3">
      <c r="A557" s="23"/>
      <c r="V557" s="23"/>
      <c r="W557" s="23"/>
      <c r="X557" s="23"/>
      <c r="Y557" s="23"/>
      <c r="Z557" s="23"/>
      <c r="AA557" s="23"/>
      <c r="AB557" s="23"/>
      <c r="AC557" s="23"/>
    </row>
    <row r="558" spans="1:29" ht="12.3">
      <c r="A558" s="23"/>
      <c r="V558" s="23"/>
      <c r="W558" s="23"/>
      <c r="X558" s="23"/>
      <c r="Y558" s="23"/>
      <c r="Z558" s="23"/>
      <c r="AA558" s="23"/>
      <c r="AB558" s="23"/>
      <c r="AC558" s="23"/>
    </row>
    <row r="559" spans="1:29" ht="12.3">
      <c r="A559" s="23"/>
      <c r="V559" s="23"/>
      <c r="W559" s="23"/>
      <c r="X559" s="23"/>
      <c r="Y559" s="23"/>
      <c r="Z559" s="23"/>
      <c r="AA559" s="23"/>
      <c r="AB559" s="23"/>
      <c r="AC559" s="23"/>
    </row>
    <row r="560" spans="1:29" ht="12.3">
      <c r="A560" s="23"/>
      <c r="V560" s="23"/>
      <c r="W560" s="23"/>
      <c r="X560" s="23"/>
      <c r="Y560" s="23"/>
      <c r="Z560" s="23"/>
      <c r="AA560" s="23"/>
      <c r="AB560" s="23"/>
      <c r="AC560" s="23"/>
    </row>
    <row r="561" spans="1:29" ht="12.3">
      <c r="A561" s="23"/>
      <c r="V561" s="23"/>
      <c r="W561" s="23"/>
      <c r="X561" s="23"/>
      <c r="Y561" s="23"/>
      <c r="Z561" s="23"/>
      <c r="AA561" s="23"/>
      <c r="AB561" s="23"/>
      <c r="AC561" s="23"/>
    </row>
    <row r="562" spans="1:29" ht="12.3">
      <c r="A562" s="23"/>
      <c r="V562" s="23"/>
      <c r="W562" s="23"/>
      <c r="X562" s="23"/>
      <c r="Y562" s="23"/>
      <c r="Z562" s="23"/>
      <c r="AA562" s="23"/>
      <c r="AB562" s="23"/>
      <c r="AC562" s="23"/>
    </row>
    <row r="563" spans="1:29" ht="12.3">
      <c r="A563" s="23"/>
      <c r="V563" s="23"/>
      <c r="W563" s="23"/>
      <c r="X563" s="23"/>
      <c r="Y563" s="23"/>
      <c r="Z563" s="23"/>
      <c r="AA563" s="23"/>
      <c r="AB563" s="23"/>
      <c r="AC563" s="23"/>
    </row>
    <row r="564" spans="1:29" ht="12.3">
      <c r="A564" s="23"/>
      <c r="V564" s="23"/>
      <c r="W564" s="23"/>
      <c r="X564" s="23"/>
      <c r="Y564" s="23"/>
      <c r="Z564" s="23"/>
      <c r="AA564" s="23"/>
      <c r="AB564" s="23"/>
      <c r="AC564" s="23"/>
    </row>
    <row r="565" spans="1:29" ht="12.3">
      <c r="A565" s="23"/>
      <c r="V565" s="23"/>
      <c r="W565" s="23"/>
      <c r="X565" s="23"/>
      <c r="Y565" s="23"/>
      <c r="Z565" s="23"/>
      <c r="AA565" s="23"/>
      <c r="AB565" s="23"/>
      <c r="AC565" s="23"/>
    </row>
    <row r="566" spans="1:29" ht="12.3">
      <c r="A566" s="23"/>
      <c r="V566" s="23"/>
      <c r="W566" s="23"/>
      <c r="X566" s="23"/>
      <c r="Y566" s="23"/>
      <c r="Z566" s="23"/>
      <c r="AA566" s="23"/>
      <c r="AB566" s="23"/>
      <c r="AC566" s="23"/>
    </row>
    <row r="567" spans="1:29" ht="12.3">
      <c r="A567" s="23"/>
      <c r="V567" s="23"/>
      <c r="W567" s="23"/>
      <c r="X567" s="23"/>
      <c r="Y567" s="23"/>
      <c r="Z567" s="23"/>
      <c r="AA567" s="23"/>
      <c r="AB567" s="23"/>
      <c r="AC567" s="23"/>
    </row>
    <row r="568" spans="1:29" ht="12.3">
      <c r="A568" s="23"/>
      <c r="V568" s="23"/>
      <c r="W568" s="23"/>
      <c r="X568" s="23"/>
      <c r="Y568" s="23"/>
      <c r="Z568" s="23"/>
      <c r="AA568" s="23"/>
      <c r="AB568" s="23"/>
      <c r="AC568" s="23"/>
    </row>
    <row r="569" spans="1:29" ht="12.3">
      <c r="A569" s="23"/>
      <c r="V569" s="23"/>
      <c r="W569" s="23"/>
      <c r="X569" s="23"/>
      <c r="Y569" s="23"/>
      <c r="Z569" s="23"/>
      <c r="AA569" s="23"/>
      <c r="AB569" s="23"/>
      <c r="AC569" s="23"/>
    </row>
    <row r="570" spans="1:29" ht="12.3">
      <c r="A570" s="23"/>
      <c r="V570" s="23"/>
      <c r="W570" s="23"/>
      <c r="X570" s="23"/>
      <c r="Y570" s="23"/>
      <c r="Z570" s="23"/>
      <c r="AA570" s="23"/>
      <c r="AB570" s="23"/>
      <c r="AC570" s="23"/>
    </row>
    <row r="571" spans="1:29" ht="12.3">
      <c r="A571" s="23"/>
      <c r="V571" s="23"/>
      <c r="W571" s="23"/>
      <c r="X571" s="23"/>
      <c r="Y571" s="23"/>
      <c r="Z571" s="23"/>
      <c r="AA571" s="23"/>
      <c r="AB571" s="23"/>
      <c r="AC571" s="23"/>
    </row>
    <row r="572" spans="1:29" ht="12.3">
      <c r="A572" s="23"/>
      <c r="V572" s="23"/>
      <c r="W572" s="23"/>
      <c r="X572" s="23"/>
      <c r="Y572" s="23"/>
      <c r="Z572" s="23"/>
      <c r="AA572" s="23"/>
      <c r="AB572" s="23"/>
      <c r="AC572" s="23"/>
    </row>
    <row r="573" spans="1:29" ht="12.3">
      <c r="A573" s="23"/>
      <c r="V573" s="23"/>
      <c r="W573" s="23"/>
      <c r="X573" s="23"/>
      <c r="Y573" s="23"/>
      <c r="Z573" s="23"/>
      <c r="AA573" s="23"/>
      <c r="AB573" s="23"/>
      <c r="AC573" s="23"/>
    </row>
    <row r="574" spans="1:29" ht="12.3">
      <c r="A574" s="23"/>
      <c r="V574" s="23"/>
      <c r="W574" s="23"/>
      <c r="X574" s="23"/>
      <c r="Y574" s="23"/>
      <c r="Z574" s="23"/>
      <c r="AA574" s="23"/>
      <c r="AB574" s="23"/>
      <c r="AC574" s="23"/>
    </row>
    <row r="575" spans="1:29" ht="12.3">
      <c r="A575" s="23"/>
      <c r="V575" s="23"/>
      <c r="W575" s="23"/>
      <c r="X575" s="23"/>
      <c r="Y575" s="23"/>
      <c r="Z575" s="23"/>
      <c r="AA575" s="23"/>
      <c r="AB575" s="23"/>
      <c r="AC575" s="23"/>
    </row>
    <row r="576" spans="1:29" ht="12.3">
      <c r="A576" s="23"/>
      <c r="V576" s="23"/>
      <c r="W576" s="23"/>
      <c r="X576" s="23"/>
      <c r="Y576" s="23"/>
      <c r="Z576" s="23"/>
      <c r="AA576" s="23"/>
      <c r="AB576" s="23"/>
      <c r="AC576" s="23"/>
    </row>
    <row r="577" spans="1:29" ht="12.3">
      <c r="A577" s="23"/>
      <c r="V577" s="23"/>
      <c r="W577" s="23"/>
      <c r="X577" s="23"/>
      <c r="Y577" s="23"/>
      <c r="Z577" s="23"/>
      <c r="AA577" s="23"/>
      <c r="AB577" s="23"/>
      <c r="AC577" s="23"/>
    </row>
    <row r="578" spans="1:29" ht="12.3">
      <c r="A578" s="23"/>
      <c r="V578" s="23"/>
      <c r="W578" s="23"/>
      <c r="X578" s="23"/>
      <c r="Y578" s="23"/>
      <c r="Z578" s="23"/>
      <c r="AA578" s="23"/>
      <c r="AB578" s="23"/>
      <c r="AC578" s="23"/>
    </row>
    <row r="579" spans="1:29" ht="12.3">
      <c r="A579" s="23"/>
      <c r="V579" s="23"/>
      <c r="W579" s="23"/>
      <c r="X579" s="23"/>
      <c r="Y579" s="23"/>
      <c r="Z579" s="23"/>
      <c r="AA579" s="23"/>
      <c r="AB579" s="23"/>
      <c r="AC579" s="23"/>
    </row>
    <row r="580" spans="1:29" ht="12.3">
      <c r="A580" s="23"/>
      <c r="V580" s="23"/>
      <c r="W580" s="23"/>
      <c r="X580" s="23"/>
      <c r="Y580" s="23"/>
      <c r="Z580" s="23"/>
      <c r="AA580" s="23"/>
      <c r="AB580" s="23"/>
      <c r="AC580" s="23"/>
    </row>
    <row r="581" spans="1:29" ht="12.3">
      <c r="A581" s="23"/>
      <c r="V581" s="23"/>
      <c r="W581" s="23"/>
      <c r="X581" s="23"/>
      <c r="Y581" s="23"/>
      <c r="Z581" s="23"/>
      <c r="AA581" s="23"/>
      <c r="AB581" s="23"/>
      <c r="AC581" s="23"/>
    </row>
    <row r="582" spans="1:29" ht="12.3">
      <c r="A582" s="23"/>
      <c r="V582" s="23"/>
      <c r="W582" s="23"/>
      <c r="X582" s="23"/>
      <c r="Y582" s="23"/>
      <c r="Z582" s="23"/>
      <c r="AA582" s="23"/>
      <c r="AB582" s="23"/>
      <c r="AC582" s="23"/>
    </row>
    <row r="583" spans="1:29" ht="12.3">
      <c r="A583" s="23"/>
      <c r="V583" s="23"/>
      <c r="W583" s="23"/>
      <c r="X583" s="23"/>
      <c r="Y583" s="23"/>
      <c r="Z583" s="23"/>
      <c r="AA583" s="23"/>
      <c r="AB583" s="23"/>
      <c r="AC583" s="23"/>
    </row>
    <row r="584" spans="1:29" ht="12.3">
      <c r="A584" s="23"/>
      <c r="V584" s="23"/>
      <c r="W584" s="23"/>
      <c r="X584" s="23"/>
      <c r="Y584" s="23"/>
      <c r="Z584" s="23"/>
      <c r="AA584" s="23"/>
      <c r="AB584" s="23"/>
      <c r="AC584" s="23"/>
    </row>
    <row r="585" spans="1:29" ht="12.3">
      <c r="A585" s="23"/>
      <c r="V585" s="23"/>
      <c r="W585" s="23"/>
      <c r="X585" s="23"/>
      <c r="Y585" s="23"/>
      <c r="Z585" s="23"/>
      <c r="AA585" s="23"/>
      <c r="AB585" s="23"/>
      <c r="AC585" s="23"/>
    </row>
    <row r="586" spans="1:29" ht="12.3">
      <c r="A586" s="23"/>
      <c r="V586" s="23"/>
      <c r="W586" s="23"/>
      <c r="X586" s="23"/>
      <c r="Y586" s="23"/>
      <c r="Z586" s="23"/>
      <c r="AA586" s="23"/>
      <c r="AB586" s="23"/>
      <c r="AC586" s="23"/>
    </row>
    <row r="587" spans="1:29" ht="12.3">
      <c r="A587" s="23"/>
      <c r="V587" s="23"/>
      <c r="W587" s="23"/>
      <c r="X587" s="23"/>
      <c r="Y587" s="23"/>
      <c r="Z587" s="23"/>
      <c r="AA587" s="23"/>
      <c r="AB587" s="23"/>
      <c r="AC587" s="23"/>
    </row>
    <row r="588" spans="1:29" ht="12.3">
      <c r="A588" s="23"/>
      <c r="V588" s="23"/>
      <c r="W588" s="23"/>
      <c r="X588" s="23"/>
      <c r="Y588" s="23"/>
      <c r="Z588" s="23"/>
      <c r="AA588" s="23"/>
      <c r="AB588" s="23"/>
      <c r="AC588" s="23"/>
    </row>
    <row r="589" spans="1:29" ht="12.3">
      <c r="A589" s="23"/>
      <c r="V589" s="23"/>
      <c r="W589" s="23"/>
      <c r="X589" s="23"/>
      <c r="Y589" s="23"/>
      <c r="Z589" s="23"/>
      <c r="AA589" s="23"/>
      <c r="AB589" s="23"/>
      <c r="AC589" s="23"/>
    </row>
    <row r="590" spans="1:29" ht="12.3">
      <c r="A590" s="23"/>
      <c r="V590" s="23"/>
      <c r="W590" s="23"/>
      <c r="X590" s="23"/>
      <c r="Y590" s="23"/>
      <c r="Z590" s="23"/>
      <c r="AA590" s="23"/>
      <c r="AB590" s="23"/>
      <c r="AC590" s="23"/>
    </row>
    <row r="591" spans="1:29" ht="12.3">
      <c r="A591" s="23"/>
      <c r="V591" s="23"/>
      <c r="W591" s="23"/>
      <c r="X591" s="23"/>
      <c r="Y591" s="23"/>
      <c r="Z591" s="23"/>
      <c r="AA591" s="23"/>
      <c r="AB591" s="23"/>
      <c r="AC591" s="23"/>
    </row>
    <row r="592" spans="1:29" ht="12.3">
      <c r="A592" s="23"/>
      <c r="V592" s="23"/>
      <c r="W592" s="23"/>
      <c r="X592" s="23"/>
      <c r="Y592" s="23"/>
      <c r="Z592" s="23"/>
      <c r="AA592" s="23"/>
      <c r="AB592" s="23"/>
      <c r="AC592" s="23"/>
    </row>
    <row r="593" spans="1:29" ht="12.3">
      <c r="A593" s="23"/>
      <c r="V593" s="23"/>
      <c r="W593" s="23"/>
      <c r="X593" s="23"/>
      <c r="Y593" s="23"/>
      <c r="Z593" s="23"/>
      <c r="AA593" s="23"/>
      <c r="AB593" s="23"/>
      <c r="AC593" s="23"/>
    </row>
    <row r="594" spans="1:29" ht="12.3">
      <c r="A594" s="23"/>
      <c r="V594" s="23"/>
      <c r="W594" s="23"/>
      <c r="X594" s="23"/>
      <c r="Y594" s="23"/>
      <c r="Z594" s="23"/>
      <c r="AA594" s="23"/>
      <c r="AB594" s="23"/>
      <c r="AC594" s="23"/>
    </row>
    <row r="595" spans="1:29" ht="12.3">
      <c r="A595" s="23"/>
      <c r="V595" s="23"/>
      <c r="W595" s="23"/>
      <c r="X595" s="23"/>
      <c r="Y595" s="23"/>
      <c r="Z595" s="23"/>
      <c r="AA595" s="23"/>
      <c r="AB595" s="23"/>
      <c r="AC595" s="23"/>
    </row>
    <row r="596" spans="1:29" ht="12.3">
      <c r="A596" s="23"/>
      <c r="V596" s="23"/>
      <c r="W596" s="23"/>
      <c r="X596" s="23"/>
      <c r="Y596" s="23"/>
      <c r="Z596" s="23"/>
      <c r="AA596" s="23"/>
      <c r="AB596" s="23"/>
      <c r="AC596" s="23"/>
    </row>
    <row r="597" spans="1:29" ht="12.3">
      <c r="A597" s="23"/>
      <c r="V597" s="23"/>
      <c r="W597" s="23"/>
      <c r="X597" s="23"/>
      <c r="Y597" s="23"/>
      <c r="Z597" s="23"/>
      <c r="AA597" s="23"/>
      <c r="AB597" s="23"/>
      <c r="AC597" s="23"/>
    </row>
    <row r="598" spans="1:29" ht="12.3">
      <c r="A598" s="23"/>
      <c r="V598" s="23"/>
      <c r="W598" s="23"/>
      <c r="X598" s="23"/>
      <c r="Y598" s="23"/>
      <c r="Z598" s="23"/>
      <c r="AA598" s="23"/>
      <c r="AB598" s="23"/>
      <c r="AC598" s="23"/>
    </row>
    <row r="599" spans="1:29" ht="12.3">
      <c r="A599" s="23"/>
      <c r="V599" s="23"/>
      <c r="W599" s="23"/>
      <c r="X599" s="23"/>
      <c r="Y599" s="23"/>
      <c r="Z599" s="23"/>
      <c r="AA599" s="23"/>
      <c r="AB599" s="23"/>
      <c r="AC599" s="23"/>
    </row>
    <row r="600" spans="1:29" ht="12.3">
      <c r="A600" s="23"/>
      <c r="V600" s="23"/>
      <c r="W600" s="23"/>
      <c r="X600" s="23"/>
      <c r="Y600" s="23"/>
      <c r="Z600" s="23"/>
      <c r="AA600" s="23"/>
      <c r="AB600" s="23"/>
      <c r="AC600" s="23"/>
    </row>
    <row r="601" spans="1:29" ht="12.3">
      <c r="A601" s="23"/>
      <c r="V601" s="23"/>
      <c r="W601" s="23"/>
      <c r="X601" s="23"/>
      <c r="Y601" s="23"/>
      <c r="Z601" s="23"/>
      <c r="AA601" s="23"/>
      <c r="AB601" s="23"/>
      <c r="AC601" s="23"/>
    </row>
    <row r="602" spans="1:29" ht="12.3">
      <c r="A602" s="23"/>
      <c r="V602" s="23"/>
      <c r="W602" s="23"/>
      <c r="X602" s="23"/>
      <c r="Y602" s="23"/>
      <c r="Z602" s="23"/>
      <c r="AA602" s="23"/>
      <c r="AB602" s="23"/>
      <c r="AC602" s="23"/>
    </row>
    <row r="603" spans="1:29" ht="12.3">
      <c r="A603" s="23"/>
      <c r="V603" s="23"/>
      <c r="W603" s="23"/>
      <c r="X603" s="23"/>
      <c r="Y603" s="23"/>
      <c r="Z603" s="23"/>
      <c r="AA603" s="23"/>
      <c r="AB603" s="23"/>
      <c r="AC603" s="23"/>
    </row>
    <row r="604" spans="1:29" ht="12.3">
      <c r="A604" s="23"/>
      <c r="V604" s="23"/>
      <c r="W604" s="23"/>
      <c r="X604" s="23"/>
      <c r="Y604" s="23"/>
      <c r="Z604" s="23"/>
      <c r="AA604" s="23"/>
      <c r="AB604" s="23"/>
      <c r="AC604" s="23"/>
    </row>
    <row r="605" spans="1:29" ht="12.3">
      <c r="A605" s="23"/>
      <c r="V605" s="23"/>
      <c r="W605" s="23"/>
      <c r="X605" s="23"/>
      <c r="Y605" s="23"/>
      <c r="Z605" s="23"/>
      <c r="AA605" s="23"/>
      <c r="AB605" s="23"/>
      <c r="AC605" s="23"/>
    </row>
    <row r="606" spans="1:29" ht="12.3">
      <c r="A606" s="23"/>
      <c r="V606" s="23"/>
      <c r="W606" s="23"/>
      <c r="X606" s="23"/>
      <c r="Y606" s="23"/>
      <c r="Z606" s="23"/>
      <c r="AA606" s="23"/>
      <c r="AB606" s="23"/>
      <c r="AC606" s="23"/>
    </row>
    <row r="607" spans="1:29" ht="12.3">
      <c r="A607" s="23"/>
      <c r="V607" s="23"/>
      <c r="W607" s="23"/>
      <c r="X607" s="23"/>
      <c r="Y607" s="23"/>
      <c r="Z607" s="23"/>
      <c r="AA607" s="23"/>
      <c r="AB607" s="23"/>
      <c r="AC607" s="23"/>
    </row>
    <row r="608" spans="1:29" ht="12.3">
      <c r="A608" s="23"/>
      <c r="V608" s="23"/>
      <c r="W608" s="23"/>
      <c r="X608" s="23"/>
      <c r="Y608" s="23"/>
      <c r="Z608" s="23"/>
      <c r="AA608" s="23"/>
      <c r="AB608" s="23"/>
      <c r="AC608" s="23"/>
    </row>
    <row r="609" spans="1:29" ht="12.3">
      <c r="A609" s="23"/>
      <c r="V609" s="23"/>
      <c r="W609" s="23"/>
      <c r="X609" s="23"/>
      <c r="Y609" s="23"/>
      <c r="Z609" s="23"/>
      <c r="AA609" s="23"/>
      <c r="AB609" s="23"/>
      <c r="AC609" s="23"/>
    </row>
    <row r="610" spans="1:29" ht="12.3">
      <c r="A610" s="23"/>
      <c r="V610" s="23"/>
      <c r="W610" s="23"/>
      <c r="X610" s="23"/>
      <c r="Y610" s="23"/>
      <c r="Z610" s="23"/>
      <c r="AA610" s="23"/>
      <c r="AB610" s="23"/>
      <c r="AC610" s="23"/>
    </row>
    <row r="611" spans="1:29" ht="12.3">
      <c r="A611" s="23"/>
      <c r="V611" s="23"/>
      <c r="W611" s="23"/>
      <c r="X611" s="23"/>
      <c r="Y611" s="23"/>
      <c r="Z611" s="23"/>
      <c r="AA611" s="23"/>
      <c r="AB611" s="23"/>
      <c r="AC611" s="23"/>
    </row>
    <row r="612" spans="1:29" ht="12.3">
      <c r="A612" s="23"/>
      <c r="V612" s="23"/>
      <c r="W612" s="23"/>
      <c r="X612" s="23"/>
      <c r="Y612" s="23"/>
      <c r="Z612" s="23"/>
      <c r="AA612" s="23"/>
      <c r="AB612" s="23"/>
      <c r="AC612" s="23"/>
    </row>
    <row r="613" spans="1:29" ht="12.3">
      <c r="A613" s="23"/>
      <c r="V613" s="23"/>
      <c r="W613" s="23"/>
      <c r="X613" s="23"/>
      <c r="Y613" s="23"/>
      <c r="Z613" s="23"/>
      <c r="AA613" s="23"/>
      <c r="AB613" s="23"/>
      <c r="AC613" s="23"/>
    </row>
    <row r="614" spans="1:29" ht="12.3">
      <c r="A614" s="23"/>
      <c r="V614" s="23"/>
      <c r="W614" s="23"/>
      <c r="X614" s="23"/>
      <c r="Y614" s="23"/>
      <c r="Z614" s="23"/>
      <c r="AA614" s="23"/>
      <c r="AB614" s="23"/>
      <c r="AC614" s="23"/>
    </row>
    <row r="615" spans="1:29" ht="12.3">
      <c r="A615" s="23"/>
      <c r="V615" s="23"/>
      <c r="W615" s="23"/>
      <c r="X615" s="23"/>
      <c r="Y615" s="23"/>
      <c r="Z615" s="23"/>
      <c r="AA615" s="23"/>
      <c r="AB615" s="23"/>
      <c r="AC615" s="23"/>
    </row>
    <row r="616" spans="1:29" ht="12.3">
      <c r="A616" s="23"/>
      <c r="V616" s="23"/>
      <c r="W616" s="23"/>
      <c r="X616" s="23"/>
      <c r="Y616" s="23"/>
      <c r="Z616" s="23"/>
      <c r="AA616" s="23"/>
      <c r="AB616" s="23"/>
      <c r="AC616" s="23"/>
    </row>
    <row r="617" spans="1:29" ht="12.3">
      <c r="A617" s="23"/>
      <c r="V617" s="23"/>
      <c r="W617" s="23"/>
      <c r="X617" s="23"/>
      <c r="Y617" s="23"/>
      <c r="Z617" s="23"/>
      <c r="AA617" s="23"/>
      <c r="AB617" s="23"/>
      <c r="AC617" s="23"/>
    </row>
    <row r="618" spans="1:29" ht="12.3">
      <c r="A618" s="23"/>
      <c r="V618" s="23"/>
      <c r="W618" s="23"/>
      <c r="X618" s="23"/>
      <c r="Y618" s="23"/>
      <c r="Z618" s="23"/>
      <c r="AA618" s="23"/>
      <c r="AB618" s="23"/>
      <c r="AC618" s="23"/>
    </row>
    <row r="619" spans="1:29" ht="12.3">
      <c r="A619" s="23"/>
      <c r="V619" s="23"/>
      <c r="W619" s="23"/>
      <c r="X619" s="23"/>
      <c r="Y619" s="23"/>
      <c r="Z619" s="23"/>
      <c r="AA619" s="23"/>
      <c r="AB619" s="23"/>
      <c r="AC619" s="23"/>
    </row>
    <row r="620" spans="1:29" ht="12.3">
      <c r="A620" s="23"/>
      <c r="V620" s="23"/>
      <c r="W620" s="23"/>
      <c r="X620" s="23"/>
      <c r="Y620" s="23"/>
      <c r="Z620" s="23"/>
      <c r="AA620" s="23"/>
      <c r="AB620" s="23"/>
      <c r="AC620" s="23"/>
    </row>
    <row r="621" spans="1:29" ht="12.3">
      <c r="A621" s="23"/>
      <c r="V621" s="23"/>
      <c r="W621" s="23"/>
      <c r="X621" s="23"/>
      <c r="Y621" s="23"/>
      <c r="Z621" s="23"/>
      <c r="AA621" s="23"/>
      <c r="AB621" s="23"/>
      <c r="AC621" s="23"/>
    </row>
    <row r="622" spans="1:29" ht="12.3">
      <c r="A622" s="23"/>
      <c r="V622" s="23"/>
      <c r="W622" s="23"/>
      <c r="X622" s="23"/>
      <c r="Y622" s="23"/>
      <c r="Z622" s="23"/>
      <c r="AA622" s="23"/>
      <c r="AB622" s="23"/>
      <c r="AC622" s="23"/>
    </row>
    <row r="623" spans="1:29" ht="12.3">
      <c r="A623" s="23"/>
      <c r="V623" s="23"/>
      <c r="W623" s="23"/>
      <c r="X623" s="23"/>
      <c r="Y623" s="23"/>
      <c r="Z623" s="23"/>
      <c r="AA623" s="23"/>
      <c r="AB623" s="23"/>
      <c r="AC623" s="23"/>
    </row>
    <row r="624" spans="1:29" ht="12.3">
      <c r="A624" s="23"/>
      <c r="V624" s="23"/>
      <c r="W624" s="23"/>
      <c r="X624" s="23"/>
      <c r="Y624" s="23"/>
      <c r="Z624" s="23"/>
      <c r="AA624" s="23"/>
      <c r="AB624" s="23"/>
      <c r="AC624" s="23"/>
    </row>
    <row r="625" spans="1:29" ht="12.3">
      <c r="A625" s="23"/>
      <c r="V625" s="23"/>
      <c r="W625" s="23"/>
      <c r="X625" s="23"/>
      <c r="Y625" s="23"/>
      <c r="Z625" s="23"/>
      <c r="AA625" s="23"/>
      <c r="AB625" s="23"/>
      <c r="AC625" s="23"/>
    </row>
    <row r="626" spans="1:29" ht="12.3">
      <c r="A626" s="23"/>
      <c r="V626" s="23"/>
      <c r="W626" s="23"/>
      <c r="X626" s="23"/>
      <c r="Y626" s="23"/>
      <c r="Z626" s="23"/>
      <c r="AA626" s="23"/>
      <c r="AB626" s="23"/>
      <c r="AC626" s="23"/>
    </row>
    <row r="627" spans="1:29" ht="12.3">
      <c r="A627" s="23"/>
      <c r="V627" s="23"/>
      <c r="W627" s="23"/>
      <c r="X627" s="23"/>
      <c r="Y627" s="23"/>
      <c r="Z627" s="23"/>
      <c r="AA627" s="23"/>
      <c r="AB627" s="23"/>
      <c r="AC627" s="23"/>
    </row>
    <row r="628" spans="1:29" ht="12.3">
      <c r="A628" s="23"/>
      <c r="V628" s="23"/>
      <c r="W628" s="23"/>
      <c r="X628" s="23"/>
      <c r="Y628" s="23"/>
      <c r="Z628" s="23"/>
      <c r="AA628" s="23"/>
      <c r="AB628" s="23"/>
      <c r="AC628" s="23"/>
    </row>
    <row r="629" spans="1:29" ht="12.3">
      <c r="A629" s="23"/>
      <c r="V629" s="23"/>
      <c r="W629" s="23"/>
      <c r="X629" s="23"/>
      <c r="Y629" s="23"/>
      <c r="Z629" s="23"/>
      <c r="AA629" s="23"/>
      <c r="AB629" s="23"/>
      <c r="AC629" s="23"/>
    </row>
    <row r="630" spans="1:29" ht="12.3">
      <c r="A630" s="23"/>
      <c r="V630" s="23"/>
      <c r="W630" s="23"/>
      <c r="X630" s="23"/>
      <c r="Y630" s="23"/>
      <c r="Z630" s="23"/>
      <c r="AA630" s="23"/>
      <c r="AB630" s="23"/>
      <c r="AC630" s="23"/>
    </row>
    <row r="631" spans="1:29" ht="12.3">
      <c r="A631" s="23"/>
      <c r="V631" s="23"/>
      <c r="W631" s="23"/>
      <c r="X631" s="23"/>
      <c r="Y631" s="23"/>
      <c r="Z631" s="23"/>
      <c r="AA631" s="23"/>
      <c r="AB631" s="23"/>
      <c r="AC631" s="23"/>
    </row>
    <row r="632" spans="1:29" ht="12.3">
      <c r="A632" s="23"/>
      <c r="V632" s="23"/>
      <c r="W632" s="23"/>
      <c r="X632" s="23"/>
      <c r="Y632" s="23"/>
      <c r="Z632" s="23"/>
      <c r="AA632" s="23"/>
      <c r="AB632" s="23"/>
      <c r="AC632" s="23"/>
    </row>
    <row r="633" spans="1:29" ht="12.3">
      <c r="A633" s="23"/>
      <c r="V633" s="23"/>
      <c r="W633" s="23"/>
      <c r="X633" s="23"/>
      <c r="Y633" s="23"/>
      <c r="Z633" s="23"/>
      <c r="AA633" s="23"/>
      <c r="AB633" s="23"/>
      <c r="AC633" s="23"/>
    </row>
    <row r="634" spans="1:29" ht="12.3">
      <c r="A634" s="23"/>
      <c r="V634" s="23"/>
      <c r="W634" s="23"/>
      <c r="X634" s="23"/>
      <c r="Y634" s="23"/>
      <c r="Z634" s="23"/>
      <c r="AA634" s="23"/>
      <c r="AB634" s="23"/>
      <c r="AC634" s="23"/>
    </row>
    <row r="635" spans="1:29" ht="12.3">
      <c r="A635" s="23"/>
      <c r="V635" s="23"/>
      <c r="W635" s="23"/>
      <c r="X635" s="23"/>
      <c r="Y635" s="23"/>
      <c r="Z635" s="23"/>
      <c r="AA635" s="23"/>
      <c r="AB635" s="23"/>
      <c r="AC635" s="23"/>
    </row>
    <row r="636" spans="1:29" ht="12.3">
      <c r="A636" s="23"/>
      <c r="V636" s="23"/>
      <c r="W636" s="23"/>
      <c r="X636" s="23"/>
      <c r="Y636" s="23"/>
      <c r="Z636" s="23"/>
      <c r="AA636" s="23"/>
      <c r="AB636" s="23"/>
      <c r="AC636" s="23"/>
    </row>
    <row r="637" spans="1:29" ht="12.3">
      <c r="A637" s="23"/>
      <c r="V637" s="23"/>
      <c r="W637" s="23"/>
      <c r="X637" s="23"/>
      <c r="Y637" s="23"/>
      <c r="Z637" s="23"/>
      <c r="AA637" s="23"/>
      <c r="AB637" s="23"/>
      <c r="AC637" s="23"/>
    </row>
    <row r="638" spans="1:29" ht="12.3">
      <c r="A638" s="23"/>
      <c r="V638" s="23"/>
      <c r="W638" s="23"/>
      <c r="X638" s="23"/>
      <c r="Y638" s="23"/>
      <c r="Z638" s="23"/>
      <c r="AA638" s="23"/>
      <c r="AB638" s="23"/>
      <c r="AC638" s="23"/>
    </row>
    <row r="639" spans="1:29" ht="12.3">
      <c r="A639" s="23"/>
      <c r="V639" s="23"/>
      <c r="W639" s="23"/>
      <c r="X639" s="23"/>
      <c r="Y639" s="23"/>
      <c r="Z639" s="23"/>
      <c r="AA639" s="23"/>
      <c r="AB639" s="23"/>
      <c r="AC639" s="23"/>
    </row>
    <row r="640" spans="1:29" ht="12.3">
      <c r="A640" s="23"/>
      <c r="V640" s="23"/>
      <c r="W640" s="23"/>
      <c r="X640" s="23"/>
      <c r="Y640" s="23"/>
      <c r="Z640" s="23"/>
      <c r="AA640" s="23"/>
      <c r="AB640" s="23"/>
      <c r="AC640" s="23"/>
    </row>
    <row r="641" spans="1:29" ht="12.3">
      <c r="A641" s="23"/>
      <c r="V641" s="23"/>
      <c r="W641" s="23"/>
      <c r="X641" s="23"/>
      <c r="Y641" s="23"/>
      <c r="Z641" s="23"/>
      <c r="AA641" s="23"/>
      <c r="AB641" s="23"/>
      <c r="AC641" s="23"/>
    </row>
    <row r="642" spans="1:29" ht="12.3">
      <c r="A642" s="23"/>
      <c r="V642" s="23"/>
      <c r="W642" s="23"/>
      <c r="X642" s="23"/>
      <c r="Y642" s="23"/>
      <c r="Z642" s="23"/>
      <c r="AA642" s="23"/>
      <c r="AB642" s="23"/>
      <c r="AC642" s="23"/>
    </row>
    <row r="643" spans="1:29" ht="12.3">
      <c r="A643" s="23"/>
      <c r="V643" s="23"/>
      <c r="W643" s="23"/>
      <c r="X643" s="23"/>
      <c r="Y643" s="23"/>
      <c r="Z643" s="23"/>
      <c r="AA643" s="23"/>
      <c r="AB643" s="23"/>
      <c r="AC643" s="23"/>
    </row>
    <row r="644" spans="1:29" ht="12.3">
      <c r="A644" s="23"/>
      <c r="V644" s="23"/>
      <c r="W644" s="23"/>
      <c r="X644" s="23"/>
      <c r="Y644" s="23"/>
      <c r="Z644" s="23"/>
      <c r="AA644" s="23"/>
      <c r="AB644" s="23"/>
      <c r="AC644" s="23"/>
    </row>
    <row r="645" spans="1:29" ht="12.3">
      <c r="A645" s="23"/>
      <c r="V645" s="23"/>
      <c r="W645" s="23"/>
      <c r="X645" s="23"/>
      <c r="Y645" s="23"/>
      <c r="Z645" s="23"/>
      <c r="AA645" s="23"/>
      <c r="AB645" s="23"/>
      <c r="AC645" s="23"/>
    </row>
    <row r="646" spans="1:29" ht="12.3">
      <c r="A646" s="23"/>
      <c r="V646" s="23"/>
      <c r="W646" s="23"/>
      <c r="X646" s="23"/>
      <c r="Y646" s="23"/>
      <c r="Z646" s="23"/>
      <c r="AA646" s="23"/>
      <c r="AB646" s="23"/>
      <c r="AC646" s="23"/>
    </row>
    <row r="647" spans="1:29" ht="12.3">
      <c r="A647" s="23"/>
      <c r="V647" s="23"/>
      <c r="W647" s="23"/>
      <c r="X647" s="23"/>
      <c r="Y647" s="23"/>
      <c r="Z647" s="23"/>
      <c r="AA647" s="23"/>
      <c r="AB647" s="23"/>
      <c r="AC647" s="23"/>
    </row>
    <row r="648" spans="1:29" ht="12.3">
      <c r="A648" s="23"/>
      <c r="V648" s="23"/>
      <c r="W648" s="23"/>
      <c r="X648" s="23"/>
      <c r="Y648" s="23"/>
      <c r="Z648" s="23"/>
      <c r="AA648" s="23"/>
      <c r="AB648" s="23"/>
      <c r="AC648" s="23"/>
    </row>
    <row r="649" spans="1:29" ht="12.3">
      <c r="A649" s="23"/>
      <c r="V649" s="23"/>
      <c r="W649" s="23"/>
      <c r="X649" s="23"/>
      <c r="Y649" s="23"/>
      <c r="Z649" s="23"/>
      <c r="AA649" s="23"/>
      <c r="AB649" s="23"/>
      <c r="AC649" s="23"/>
    </row>
    <row r="650" spans="1:29" ht="12.3">
      <c r="A650" s="23"/>
      <c r="V650" s="23"/>
      <c r="W650" s="23"/>
      <c r="X650" s="23"/>
      <c r="Y650" s="23"/>
      <c r="Z650" s="23"/>
      <c r="AA650" s="23"/>
      <c r="AB650" s="23"/>
      <c r="AC650" s="23"/>
    </row>
    <row r="651" spans="1:29" ht="12.3">
      <c r="A651" s="23"/>
      <c r="V651" s="23"/>
      <c r="W651" s="23"/>
      <c r="X651" s="23"/>
      <c r="Y651" s="23"/>
      <c r="Z651" s="23"/>
      <c r="AA651" s="23"/>
      <c r="AB651" s="23"/>
      <c r="AC651" s="23"/>
    </row>
    <row r="652" spans="1:29" ht="12.3">
      <c r="A652" s="23"/>
      <c r="V652" s="23"/>
      <c r="W652" s="23"/>
      <c r="X652" s="23"/>
      <c r="Y652" s="23"/>
      <c r="Z652" s="23"/>
      <c r="AA652" s="23"/>
      <c r="AB652" s="23"/>
      <c r="AC652" s="23"/>
    </row>
    <row r="653" spans="1:29" ht="12.3">
      <c r="A653" s="23"/>
      <c r="V653" s="23"/>
      <c r="W653" s="23"/>
      <c r="X653" s="23"/>
      <c r="Y653" s="23"/>
      <c r="Z653" s="23"/>
      <c r="AA653" s="23"/>
      <c r="AB653" s="23"/>
      <c r="AC653" s="23"/>
    </row>
    <row r="654" spans="1:29" ht="12.3">
      <c r="A654" s="23"/>
      <c r="V654" s="23"/>
      <c r="W654" s="23"/>
      <c r="X654" s="23"/>
      <c r="Y654" s="23"/>
      <c r="Z654" s="23"/>
      <c r="AA654" s="23"/>
      <c r="AB654" s="23"/>
      <c r="AC654" s="23"/>
    </row>
    <row r="655" spans="1:29" ht="12.3">
      <c r="A655" s="23"/>
      <c r="V655" s="23"/>
      <c r="W655" s="23"/>
      <c r="X655" s="23"/>
      <c r="Y655" s="23"/>
      <c r="Z655" s="23"/>
      <c r="AA655" s="23"/>
      <c r="AB655" s="23"/>
      <c r="AC655" s="23"/>
    </row>
    <row r="656" spans="1:29" ht="12.3">
      <c r="A656" s="23"/>
      <c r="V656" s="23"/>
      <c r="W656" s="23"/>
      <c r="X656" s="23"/>
      <c r="Y656" s="23"/>
      <c r="Z656" s="23"/>
      <c r="AA656" s="23"/>
      <c r="AB656" s="23"/>
      <c r="AC656" s="23"/>
    </row>
    <row r="657" spans="1:29" ht="12.3">
      <c r="A657" s="23"/>
      <c r="V657" s="23"/>
      <c r="W657" s="23"/>
      <c r="X657" s="23"/>
      <c r="Y657" s="23"/>
      <c r="Z657" s="23"/>
      <c r="AA657" s="23"/>
      <c r="AB657" s="23"/>
      <c r="AC657" s="23"/>
    </row>
    <row r="658" spans="1:29" ht="12.3">
      <c r="A658" s="23"/>
      <c r="V658" s="23"/>
      <c r="W658" s="23"/>
      <c r="X658" s="23"/>
      <c r="Y658" s="23"/>
      <c r="Z658" s="23"/>
      <c r="AA658" s="23"/>
      <c r="AB658" s="23"/>
      <c r="AC658" s="23"/>
    </row>
    <row r="659" spans="1:29" ht="12.3">
      <c r="A659" s="23"/>
      <c r="V659" s="23"/>
      <c r="W659" s="23"/>
      <c r="X659" s="23"/>
      <c r="Y659" s="23"/>
      <c r="Z659" s="23"/>
      <c r="AA659" s="23"/>
      <c r="AB659" s="23"/>
      <c r="AC659" s="23"/>
    </row>
    <row r="660" spans="1:29" ht="12.3">
      <c r="A660" s="23"/>
      <c r="V660" s="23"/>
      <c r="W660" s="23"/>
      <c r="X660" s="23"/>
      <c r="Y660" s="23"/>
      <c r="Z660" s="23"/>
      <c r="AA660" s="23"/>
      <c r="AB660" s="23"/>
      <c r="AC660" s="23"/>
    </row>
    <row r="661" spans="1:29" ht="12.3">
      <c r="A661" s="23"/>
      <c r="V661" s="23"/>
      <c r="W661" s="23"/>
      <c r="X661" s="23"/>
      <c r="Y661" s="23"/>
      <c r="Z661" s="23"/>
      <c r="AA661" s="23"/>
      <c r="AB661" s="23"/>
      <c r="AC661" s="23"/>
    </row>
    <row r="662" spans="1:29" ht="12.3">
      <c r="A662" s="23"/>
      <c r="V662" s="23"/>
      <c r="W662" s="23"/>
      <c r="X662" s="23"/>
      <c r="Y662" s="23"/>
      <c r="Z662" s="23"/>
      <c r="AA662" s="23"/>
      <c r="AB662" s="23"/>
      <c r="AC662" s="23"/>
    </row>
    <row r="663" spans="1:29" ht="12.3">
      <c r="A663" s="23"/>
      <c r="V663" s="23"/>
      <c r="W663" s="23"/>
      <c r="X663" s="23"/>
      <c r="Y663" s="23"/>
      <c r="Z663" s="23"/>
      <c r="AA663" s="23"/>
      <c r="AB663" s="23"/>
      <c r="AC663" s="23"/>
    </row>
    <row r="664" spans="1:29" ht="12.3">
      <c r="A664" s="23"/>
      <c r="V664" s="23"/>
      <c r="W664" s="23"/>
      <c r="X664" s="23"/>
      <c r="Y664" s="23"/>
      <c r="Z664" s="23"/>
      <c r="AA664" s="23"/>
      <c r="AB664" s="23"/>
      <c r="AC664" s="23"/>
    </row>
    <row r="665" spans="1:29" ht="12.3">
      <c r="A665" s="23"/>
      <c r="V665" s="23"/>
      <c r="W665" s="23"/>
      <c r="X665" s="23"/>
      <c r="Y665" s="23"/>
      <c r="Z665" s="23"/>
      <c r="AA665" s="23"/>
      <c r="AB665" s="23"/>
      <c r="AC665" s="23"/>
    </row>
    <row r="666" spans="1:29" ht="12.3">
      <c r="A666" s="23"/>
      <c r="V666" s="23"/>
      <c r="W666" s="23"/>
      <c r="X666" s="23"/>
      <c r="Y666" s="23"/>
      <c r="Z666" s="23"/>
      <c r="AA666" s="23"/>
      <c r="AB666" s="23"/>
      <c r="AC666" s="23"/>
    </row>
    <row r="667" spans="1:29" ht="12.3">
      <c r="A667" s="23"/>
      <c r="V667" s="23"/>
      <c r="W667" s="23"/>
      <c r="X667" s="23"/>
      <c r="Y667" s="23"/>
      <c r="Z667" s="23"/>
      <c r="AA667" s="23"/>
      <c r="AB667" s="23"/>
      <c r="AC667" s="23"/>
    </row>
    <row r="668" spans="1:29" ht="12.3">
      <c r="A668" s="23"/>
      <c r="V668" s="23"/>
      <c r="W668" s="23"/>
      <c r="X668" s="23"/>
      <c r="Y668" s="23"/>
      <c r="Z668" s="23"/>
      <c r="AA668" s="23"/>
      <c r="AB668" s="23"/>
      <c r="AC668" s="23"/>
    </row>
    <row r="669" spans="1:29" ht="12.3">
      <c r="A669" s="23"/>
      <c r="V669" s="23"/>
      <c r="W669" s="23"/>
      <c r="X669" s="23"/>
      <c r="Y669" s="23"/>
      <c r="Z669" s="23"/>
      <c r="AA669" s="23"/>
      <c r="AB669" s="23"/>
      <c r="AC669" s="23"/>
    </row>
    <row r="670" spans="1:29" ht="12.3">
      <c r="A670" s="23"/>
      <c r="V670" s="23"/>
      <c r="W670" s="23"/>
      <c r="X670" s="23"/>
      <c r="Y670" s="23"/>
      <c r="Z670" s="23"/>
      <c r="AA670" s="23"/>
      <c r="AB670" s="23"/>
      <c r="AC670" s="23"/>
    </row>
    <row r="671" spans="1:29" ht="12.3">
      <c r="A671" s="23"/>
      <c r="V671" s="23"/>
      <c r="W671" s="23"/>
      <c r="X671" s="23"/>
      <c r="Y671" s="23"/>
      <c r="Z671" s="23"/>
      <c r="AA671" s="23"/>
      <c r="AB671" s="23"/>
      <c r="AC671" s="23"/>
    </row>
    <row r="672" spans="1:29" ht="12.3">
      <c r="A672" s="23"/>
      <c r="V672" s="23"/>
      <c r="W672" s="23"/>
      <c r="X672" s="23"/>
      <c r="Y672" s="23"/>
      <c r="Z672" s="23"/>
      <c r="AA672" s="23"/>
      <c r="AB672" s="23"/>
      <c r="AC672" s="23"/>
    </row>
    <row r="673" spans="1:29" ht="12.3">
      <c r="A673" s="23"/>
      <c r="V673" s="23"/>
      <c r="W673" s="23"/>
      <c r="X673" s="23"/>
      <c r="Y673" s="23"/>
      <c r="Z673" s="23"/>
      <c r="AA673" s="23"/>
      <c r="AB673" s="23"/>
      <c r="AC673" s="23"/>
    </row>
    <row r="674" spans="1:29" ht="12.3">
      <c r="A674" s="23"/>
      <c r="V674" s="23"/>
      <c r="W674" s="23"/>
      <c r="X674" s="23"/>
      <c r="Y674" s="23"/>
      <c r="Z674" s="23"/>
      <c r="AA674" s="23"/>
      <c r="AB674" s="23"/>
      <c r="AC674" s="23"/>
    </row>
    <row r="675" spans="1:29" ht="12.3">
      <c r="A675" s="23"/>
      <c r="V675" s="23"/>
      <c r="W675" s="23"/>
      <c r="X675" s="23"/>
      <c r="Y675" s="23"/>
      <c r="Z675" s="23"/>
      <c r="AA675" s="23"/>
      <c r="AB675" s="23"/>
      <c r="AC675" s="23"/>
    </row>
    <row r="676" spans="1:29" ht="12.3">
      <c r="A676" s="23"/>
      <c r="V676" s="23"/>
      <c r="W676" s="23"/>
      <c r="X676" s="23"/>
      <c r="Y676" s="23"/>
      <c r="Z676" s="23"/>
      <c r="AA676" s="23"/>
      <c r="AB676" s="23"/>
      <c r="AC676" s="23"/>
    </row>
    <row r="677" spans="1:29" ht="12.3">
      <c r="A677" s="23"/>
      <c r="V677" s="23"/>
      <c r="W677" s="23"/>
      <c r="X677" s="23"/>
      <c r="Y677" s="23"/>
      <c r="Z677" s="23"/>
      <c r="AA677" s="23"/>
      <c r="AB677" s="23"/>
      <c r="AC677" s="23"/>
    </row>
    <row r="678" spans="1:29" ht="12.3">
      <c r="A678" s="23"/>
      <c r="V678" s="23"/>
      <c r="W678" s="23"/>
      <c r="X678" s="23"/>
      <c r="Y678" s="23"/>
      <c r="Z678" s="23"/>
      <c r="AA678" s="23"/>
      <c r="AB678" s="23"/>
      <c r="AC678" s="23"/>
    </row>
    <row r="679" spans="1:29" ht="12.3">
      <c r="A679" s="23"/>
      <c r="V679" s="23"/>
      <c r="W679" s="23"/>
      <c r="X679" s="23"/>
      <c r="Y679" s="23"/>
      <c r="Z679" s="23"/>
      <c r="AA679" s="23"/>
      <c r="AB679" s="23"/>
      <c r="AC679" s="23"/>
    </row>
    <row r="680" spans="1:29" ht="12.3">
      <c r="A680" s="23"/>
      <c r="V680" s="23"/>
      <c r="W680" s="23"/>
      <c r="X680" s="23"/>
      <c r="Y680" s="23"/>
      <c r="Z680" s="23"/>
      <c r="AA680" s="23"/>
      <c r="AB680" s="23"/>
      <c r="AC680" s="23"/>
    </row>
    <row r="681" spans="1:29" ht="12.3">
      <c r="A681" s="23"/>
      <c r="V681" s="23"/>
      <c r="W681" s="23"/>
      <c r="X681" s="23"/>
      <c r="Y681" s="23"/>
      <c r="Z681" s="23"/>
      <c r="AA681" s="23"/>
      <c r="AB681" s="23"/>
      <c r="AC681" s="23"/>
    </row>
    <row r="682" spans="1:29" ht="12.3">
      <c r="A682" s="23"/>
      <c r="V682" s="23"/>
      <c r="W682" s="23"/>
      <c r="X682" s="23"/>
      <c r="Y682" s="23"/>
      <c r="Z682" s="23"/>
      <c r="AA682" s="23"/>
      <c r="AB682" s="23"/>
      <c r="AC682" s="23"/>
    </row>
    <row r="683" spans="1:29" ht="12.3">
      <c r="A683" s="23"/>
      <c r="V683" s="23"/>
      <c r="W683" s="23"/>
      <c r="X683" s="23"/>
      <c r="Y683" s="23"/>
      <c r="Z683" s="23"/>
      <c r="AA683" s="23"/>
      <c r="AB683" s="23"/>
      <c r="AC683" s="23"/>
    </row>
    <row r="684" spans="1:29" ht="12.3">
      <c r="A684" s="23"/>
      <c r="V684" s="23"/>
      <c r="W684" s="23"/>
      <c r="X684" s="23"/>
      <c r="Y684" s="23"/>
      <c r="Z684" s="23"/>
      <c r="AA684" s="23"/>
      <c r="AB684" s="23"/>
      <c r="AC684" s="23"/>
    </row>
    <row r="685" spans="1:29" ht="12.3">
      <c r="A685" s="23"/>
      <c r="V685" s="23"/>
      <c r="W685" s="23"/>
      <c r="X685" s="23"/>
      <c r="Y685" s="23"/>
      <c r="Z685" s="23"/>
      <c r="AA685" s="23"/>
      <c r="AB685" s="23"/>
      <c r="AC685" s="23"/>
    </row>
    <row r="686" spans="1:29" ht="12.3">
      <c r="A686" s="23"/>
      <c r="V686" s="23"/>
      <c r="W686" s="23"/>
      <c r="X686" s="23"/>
      <c r="Y686" s="23"/>
      <c r="Z686" s="23"/>
      <c r="AA686" s="23"/>
      <c r="AB686" s="23"/>
      <c r="AC686" s="23"/>
    </row>
    <row r="687" spans="1:29" ht="12.3">
      <c r="A687" s="23"/>
      <c r="V687" s="23"/>
      <c r="W687" s="23"/>
      <c r="X687" s="23"/>
      <c r="Y687" s="23"/>
      <c r="Z687" s="23"/>
      <c r="AA687" s="23"/>
      <c r="AB687" s="23"/>
      <c r="AC687" s="23"/>
    </row>
    <row r="688" spans="1:29" ht="12.3">
      <c r="A688" s="23"/>
      <c r="V688" s="23"/>
      <c r="W688" s="23"/>
      <c r="X688" s="23"/>
      <c r="Y688" s="23"/>
      <c r="Z688" s="23"/>
      <c r="AA688" s="23"/>
      <c r="AB688" s="23"/>
      <c r="AC688" s="23"/>
    </row>
    <row r="689" spans="1:29" ht="12.3">
      <c r="A689" s="23"/>
      <c r="V689" s="23"/>
      <c r="W689" s="23"/>
      <c r="X689" s="23"/>
      <c r="Y689" s="23"/>
      <c r="Z689" s="23"/>
      <c r="AA689" s="23"/>
      <c r="AB689" s="23"/>
      <c r="AC689" s="23"/>
    </row>
    <row r="690" spans="1:29" ht="12.3">
      <c r="A690" s="23"/>
      <c r="V690" s="23"/>
      <c r="W690" s="23"/>
      <c r="X690" s="23"/>
      <c r="Y690" s="23"/>
      <c r="Z690" s="23"/>
      <c r="AA690" s="23"/>
      <c r="AB690" s="23"/>
      <c r="AC690" s="23"/>
    </row>
    <row r="691" spans="1:29" ht="12.3">
      <c r="A691" s="23"/>
      <c r="V691" s="23"/>
      <c r="W691" s="23"/>
      <c r="X691" s="23"/>
      <c r="Y691" s="23"/>
      <c r="Z691" s="23"/>
      <c r="AA691" s="23"/>
      <c r="AB691" s="23"/>
      <c r="AC691" s="23"/>
    </row>
    <row r="692" spans="1:29" ht="12.3">
      <c r="A692" s="23"/>
      <c r="V692" s="23"/>
      <c r="W692" s="23"/>
      <c r="X692" s="23"/>
      <c r="Y692" s="23"/>
      <c r="Z692" s="23"/>
      <c r="AA692" s="23"/>
      <c r="AB692" s="23"/>
      <c r="AC692" s="23"/>
    </row>
    <row r="693" spans="1:29" ht="12.3">
      <c r="A693" s="23"/>
      <c r="V693" s="23"/>
      <c r="W693" s="23"/>
      <c r="X693" s="23"/>
      <c r="Y693" s="23"/>
      <c r="Z693" s="23"/>
      <c r="AA693" s="23"/>
      <c r="AB693" s="23"/>
      <c r="AC693" s="23"/>
    </row>
    <row r="694" spans="1:29" ht="12.3">
      <c r="A694" s="23"/>
      <c r="V694" s="23"/>
      <c r="W694" s="23"/>
      <c r="X694" s="23"/>
      <c r="Y694" s="23"/>
      <c r="Z694" s="23"/>
      <c r="AA694" s="23"/>
      <c r="AB694" s="23"/>
      <c r="AC694" s="23"/>
    </row>
    <row r="695" spans="1:29" ht="12.3">
      <c r="A695" s="23"/>
      <c r="V695" s="23"/>
      <c r="W695" s="23"/>
      <c r="X695" s="23"/>
      <c r="Y695" s="23"/>
      <c r="Z695" s="23"/>
      <c r="AA695" s="23"/>
      <c r="AB695" s="23"/>
      <c r="AC695" s="23"/>
    </row>
    <row r="696" spans="1:29" ht="12.3">
      <c r="A696" s="23"/>
      <c r="V696" s="23"/>
      <c r="W696" s="23"/>
      <c r="X696" s="23"/>
      <c r="Y696" s="23"/>
      <c r="Z696" s="23"/>
      <c r="AA696" s="23"/>
      <c r="AB696" s="23"/>
      <c r="AC696" s="23"/>
    </row>
    <row r="697" spans="1:29" ht="12.3">
      <c r="A697" s="23"/>
      <c r="V697" s="23"/>
      <c r="W697" s="23"/>
      <c r="X697" s="23"/>
      <c r="Y697" s="23"/>
      <c r="Z697" s="23"/>
      <c r="AA697" s="23"/>
      <c r="AB697" s="23"/>
      <c r="AC697" s="23"/>
    </row>
    <row r="698" spans="1:29" ht="12.3">
      <c r="A698" s="23"/>
      <c r="V698" s="23"/>
      <c r="W698" s="23"/>
      <c r="X698" s="23"/>
      <c r="Y698" s="23"/>
      <c r="Z698" s="23"/>
      <c r="AA698" s="23"/>
      <c r="AB698" s="23"/>
      <c r="AC698" s="23"/>
    </row>
    <row r="699" spans="1:29" ht="12.3">
      <c r="A699" s="23"/>
      <c r="V699" s="23"/>
      <c r="W699" s="23"/>
      <c r="X699" s="23"/>
      <c r="Y699" s="23"/>
      <c r="Z699" s="23"/>
      <c r="AA699" s="23"/>
      <c r="AB699" s="23"/>
      <c r="AC699" s="23"/>
    </row>
    <row r="700" spans="1:29" ht="12.3">
      <c r="A700" s="23"/>
      <c r="V700" s="23"/>
      <c r="W700" s="23"/>
      <c r="X700" s="23"/>
      <c r="Y700" s="23"/>
      <c r="Z700" s="23"/>
      <c r="AA700" s="23"/>
      <c r="AB700" s="23"/>
      <c r="AC700" s="23"/>
    </row>
    <row r="701" spans="1:29" ht="12.3">
      <c r="A701" s="23"/>
      <c r="V701" s="23"/>
      <c r="W701" s="23"/>
      <c r="X701" s="23"/>
      <c r="Y701" s="23"/>
      <c r="Z701" s="23"/>
      <c r="AA701" s="23"/>
      <c r="AB701" s="23"/>
      <c r="AC701" s="23"/>
    </row>
    <row r="702" spans="1:29" ht="12.3">
      <c r="A702" s="23"/>
      <c r="V702" s="23"/>
      <c r="W702" s="23"/>
      <c r="X702" s="23"/>
      <c r="Y702" s="23"/>
      <c r="Z702" s="23"/>
      <c r="AA702" s="23"/>
      <c r="AB702" s="23"/>
      <c r="AC702" s="23"/>
    </row>
    <row r="703" spans="1:29" ht="12.3">
      <c r="A703" s="23"/>
      <c r="V703" s="23"/>
      <c r="W703" s="23"/>
      <c r="X703" s="23"/>
      <c r="Y703" s="23"/>
      <c r="Z703" s="23"/>
      <c r="AA703" s="23"/>
      <c r="AB703" s="23"/>
      <c r="AC703" s="23"/>
    </row>
    <row r="704" spans="1:29" ht="12.3">
      <c r="A704" s="23"/>
      <c r="V704" s="23"/>
      <c r="W704" s="23"/>
      <c r="X704" s="23"/>
      <c r="Y704" s="23"/>
      <c r="Z704" s="23"/>
      <c r="AA704" s="23"/>
      <c r="AB704" s="23"/>
      <c r="AC704" s="23"/>
    </row>
    <row r="705" spans="1:29" ht="12.3">
      <c r="A705" s="23"/>
      <c r="V705" s="23"/>
      <c r="W705" s="23"/>
      <c r="X705" s="23"/>
      <c r="Y705" s="23"/>
      <c r="Z705" s="23"/>
      <c r="AA705" s="23"/>
      <c r="AB705" s="23"/>
      <c r="AC705" s="23"/>
    </row>
    <row r="706" spans="1:29" ht="12.3">
      <c r="A706" s="23"/>
      <c r="V706" s="23"/>
      <c r="W706" s="23"/>
      <c r="X706" s="23"/>
      <c r="Y706" s="23"/>
      <c r="Z706" s="23"/>
      <c r="AA706" s="23"/>
      <c r="AB706" s="23"/>
      <c r="AC706" s="23"/>
    </row>
    <row r="707" spans="1:29" ht="12.3">
      <c r="A707" s="23"/>
      <c r="V707" s="23"/>
      <c r="W707" s="23"/>
      <c r="X707" s="23"/>
      <c r="Y707" s="23"/>
      <c r="Z707" s="23"/>
      <c r="AA707" s="23"/>
      <c r="AB707" s="23"/>
      <c r="AC707" s="23"/>
    </row>
    <row r="708" spans="1:29" ht="12.3">
      <c r="A708" s="23"/>
      <c r="V708" s="23"/>
      <c r="W708" s="23"/>
      <c r="X708" s="23"/>
      <c r="Y708" s="23"/>
      <c r="Z708" s="23"/>
      <c r="AA708" s="23"/>
      <c r="AB708" s="23"/>
      <c r="AC708" s="23"/>
    </row>
    <row r="709" spans="1:29" ht="12.3">
      <c r="A709" s="23"/>
      <c r="V709" s="23"/>
      <c r="W709" s="23"/>
      <c r="X709" s="23"/>
      <c r="Y709" s="23"/>
      <c r="Z709" s="23"/>
      <c r="AA709" s="23"/>
      <c r="AB709" s="23"/>
      <c r="AC709" s="23"/>
    </row>
    <row r="710" spans="1:29" ht="12.3">
      <c r="A710" s="23"/>
      <c r="V710" s="23"/>
      <c r="W710" s="23"/>
      <c r="X710" s="23"/>
      <c r="Y710" s="23"/>
      <c r="Z710" s="23"/>
      <c r="AA710" s="23"/>
      <c r="AB710" s="23"/>
      <c r="AC710" s="23"/>
    </row>
    <row r="711" spans="1:29" ht="12.3">
      <c r="A711" s="23"/>
      <c r="V711" s="23"/>
      <c r="W711" s="23"/>
      <c r="X711" s="23"/>
      <c r="Y711" s="23"/>
      <c r="Z711" s="23"/>
      <c r="AA711" s="23"/>
      <c r="AB711" s="23"/>
      <c r="AC711" s="23"/>
    </row>
    <row r="712" spans="1:29" ht="12.3">
      <c r="A712" s="23"/>
      <c r="V712" s="23"/>
      <c r="W712" s="23"/>
      <c r="X712" s="23"/>
      <c r="Y712" s="23"/>
      <c r="Z712" s="23"/>
      <c r="AA712" s="23"/>
      <c r="AB712" s="23"/>
      <c r="AC712" s="23"/>
    </row>
    <row r="713" spans="1:29" ht="12.3">
      <c r="A713" s="23"/>
      <c r="V713" s="23"/>
      <c r="W713" s="23"/>
      <c r="X713" s="23"/>
      <c r="Y713" s="23"/>
      <c r="Z713" s="23"/>
      <c r="AA713" s="23"/>
      <c r="AB713" s="23"/>
      <c r="AC713" s="23"/>
    </row>
    <row r="714" spans="1:29" ht="12.3">
      <c r="A714" s="23"/>
      <c r="V714" s="23"/>
      <c r="W714" s="23"/>
      <c r="X714" s="23"/>
      <c r="Y714" s="23"/>
      <c r="Z714" s="23"/>
      <c r="AA714" s="23"/>
      <c r="AB714" s="23"/>
      <c r="AC714" s="23"/>
    </row>
    <row r="715" spans="1:29" ht="12.3">
      <c r="A715" s="23"/>
      <c r="V715" s="23"/>
      <c r="W715" s="23"/>
      <c r="X715" s="23"/>
      <c r="Y715" s="23"/>
      <c r="Z715" s="23"/>
      <c r="AA715" s="23"/>
      <c r="AB715" s="23"/>
      <c r="AC715" s="23"/>
    </row>
    <row r="716" spans="1:29" ht="12.3">
      <c r="A716" s="23"/>
      <c r="V716" s="23"/>
      <c r="W716" s="23"/>
      <c r="X716" s="23"/>
      <c r="Y716" s="23"/>
      <c r="Z716" s="23"/>
      <c r="AA716" s="23"/>
      <c r="AB716" s="23"/>
      <c r="AC716" s="23"/>
    </row>
    <row r="717" spans="1:29" ht="12.3">
      <c r="A717" s="23"/>
      <c r="V717" s="23"/>
      <c r="W717" s="23"/>
      <c r="X717" s="23"/>
      <c r="Y717" s="23"/>
      <c r="Z717" s="23"/>
      <c r="AA717" s="23"/>
      <c r="AB717" s="23"/>
      <c r="AC717" s="23"/>
    </row>
    <row r="718" spans="1:29" ht="12.3">
      <c r="A718" s="23"/>
      <c r="V718" s="23"/>
      <c r="W718" s="23"/>
      <c r="X718" s="23"/>
      <c r="Y718" s="23"/>
      <c r="Z718" s="23"/>
      <c r="AA718" s="23"/>
      <c r="AB718" s="23"/>
      <c r="AC718" s="23"/>
    </row>
    <row r="719" spans="1:29" ht="12.3">
      <c r="A719" s="23"/>
      <c r="V719" s="23"/>
      <c r="W719" s="23"/>
      <c r="X719" s="23"/>
      <c r="Y719" s="23"/>
      <c r="Z719" s="23"/>
      <c r="AA719" s="23"/>
      <c r="AB719" s="23"/>
      <c r="AC719" s="23"/>
    </row>
    <row r="720" spans="1:29" ht="12.3">
      <c r="A720" s="23"/>
      <c r="V720" s="23"/>
      <c r="W720" s="23"/>
      <c r="X720" s="23"/>
      <c r="Y720" s="23"/>
      <c r="Z720" s="23"/>
      <c r="AA720" s="23"/>
      <c r="AB720" s="23"/>
      <c r="AC720" s="23"/>
    </row>
    <row r="721" spans="1:29" ht="12.3">
      <c r="A721" s="23"/>
      <c r="V721" s="23"/>
      <c r="W721" s="23"/>
      <c r="X721" s="23"/>
      <c r="Y721" s="23"/>
      <c r="Z721" s="23"/>
      <c r="AA721" s="23"/>
      <c r="AB721" s="23"/>
      <c r="AC721" s="23"/>
    </row>
    <row r="722" spans="1:29" ht="12.3">
      <c r="A722" s="23"/>
      <c r="V722" s="23"/>
      <c r="W722" s="23"/>
      <c r="X722" s="23"/>
      <c r="Y722" s="23"/>
      <c r="Z722" s="23"/>
      <c r="AA722" s="23"/>
      <c r="AB722" s="23"/>
      <c r="AC722" s="23"/>
    </row>
    <row r="723" spans="1:29" ht="12.3">
      <c r="A723" s="23"/>
      <c r="V723" s="23"/>
      <c r="W723" s="23"/>
      <c r="X723" s="23"/>
      <c r="Y723" s="23"/>
      <c r="Z723" s="23"/>
      <c r="AA723" s="23"/>
      <c r="AB723" s="23"/>
      <c r="AC723" s="23"/>
    </row>
    <row r="724" spans="1:29" ht="12.3">
      <c r="A724" s="23"/>
      <c r="V724" s="23"/>
      <c r="W724" s="23"/>
      <c r="X724" s="23"/>
      <c r="Y724" s="23"/>
      <c r="Z724" s="23"/>
      <c r="AA724" s="23"/>
      <c r="AB724" s="23"/>
      <c r="AC724" s="23"/>
    </row>
    <row r="725" spans="1:29" ht="12.3">
      <c r="A725" s="23"/>
      <c r="V725" s="23"/>
      <c r="W725" s="23"/>
      <c r="X725" s="23"/>
      <c r="Y725" s="23"/>
      <c r="Z725" s="23"/>
      <c r="AA725" s="23"/>
      <c r="AB725" s="23"/>
      <c r="AC725" s="23"/>
    </row>
    <row r="726" spans="1:29" ht="12.3">
      <c r="A726" s="23"/>
      <c r="V726" s="23"/>
      <c r="W726" s="23"/>
      <c r="X726" s="23"/>
      <c r="Y726" s="23"/>
      <c r="Z726" s="23"/>
      <c r="AA726" s="23"/>
      <c r="AB726" s="23"/>
      <c r="AC726" s="23"/>
    </row>
    <row r="727" spans="1:29" ht="12.3">
      <c r="A727" s="23"/>
      <c r="V727" s="23"/>
      <c r="W727" s="23"/>
      <c r="X727" s="23"/>
      <c r="Y727" s="23"/>
      <c r="Z727" s="23"/>
      <c r="AA727" s="23"/>
      <c r="AB727" s="23"/>
      <c r="AC727" s="23"/>
    </row>
    <row r="728" spans="1:29" ht="12.3">
      <c r="A728" s="23"/>
      <c r="V728" s="23"/>
      <c r="W728" s="23"/>
      <c r="X728" s="23"/>
      <c r="Y728" s="23"/>
      <c r="Z728" s="23"/>
      <c r="AA728" s="23"/>
      <c r="AB728" s="23"/>
      <c r="AC728" s="23"/>
    </row>
    <row r="729" spans="1:29" ht="12.3">
      <c r="A729" s="23"/>
      <c r="V729" s="23"/>
      <c r="W729" s="23"/>
      <c r="X729" s="23"/>
      <c r="Y729" s="23"/>
      <c r="Z729" s="23"/>
      <c r="AA729" s="23"/>
      <c r="AB729" s="23"/>
      <c r="AC729" s="23"/>
    </row>
    <row r="730" spans="1:29" ht="12.3">
      <c r="A730" s="23"/>
      <c r="V730" s="23"/>
      <c r="W730" s="23"/>
      <c r="X730" s="23"/>
      <c r="Y730" s="23"/>
      <c r="Z730" s="23"/>
      <c r="AA730" s="23"/>
      <c r="AB730" s="23"/>
      <c r="AC730" s="23"/>
    </row>
    <row r="731" spans="1:29" ht="12.3">
      <c r="A731" s="23"/>
      <c r="V731" s="23"/>
      <c r="W731" s="23"/>
      <c r="X731" s="23"/>
      <c r="Y731" s="23"/>
      <c r="Z731" s="23"/>
      <c r="AA731" s="23"/>
      <c r="AB731" s="23"/>
      <c r="AC731" s="23"/>
    </row>
    <row r="732" spans="1:29" ht="12.3">
      <c r="A732" s="23"/>
      <c r="V732" s="23"/>
      <c r="W732" s="23"/>
      <c r="X732" s="23"/>
      <c r="Y732" s="23"/>
      <c r="Z732" s="23"/>
      <c r="AA732" s="23"/>
      <c r="AB732" s="23"/>
      <c r="AC732" s="23"/>
    </row>
    <row r="733" spans="1:29" ht="12.3">
      <c r="A733" s="23"/>
      <c r="V733" s="23"/>
      <c r="W733" s="23"/>
      <c r="X733" s="23"/>
      <c r="Y733" s="23"/>
      <c r="Z733" s="23"/>
      <c r="AA733" s="23"/>
      <c r="AB733" s="23"/>
      <c r="AC733" s="23"/>
    </row>
    <row r="734" spans="1:29" ht="12.3">
      <c r="A734" s="23"/>
      <c r="V734" s="23"/>
      <c r="W734" s="23"/>
      <c r="X734" s="23"/>
      <c r="Y734" s="23"/>
      <c r="Z734" s="23"/>
      <c r="AA734" s="23"/>
      <c r="AB734" s="23"/>
      <c r="AC734" s="23"/>
    </row>
    <row r="735" spans="1:29" ht="12.3">
      <c r="A735" s="23"/>
      <c r="V735" s="23"/>
      <c r="W735" s="23"/>
      <c r="X735" s="23"/>
      <c r="Y735" s="23"/>
      <c r="Z735" s="23"/>
      <c r="AA735" s="23"/>
      <c r="AB735" s="23"/>
      <c r="AC735" s="23"/>
    </row>
    <row r="736" spans="1:29" ht="12.3">
      <c r="A736" s="23"/>
      <c r="V736" s="23"/>
      <c r="W736" s="23"/>
      <c r="X736" s="23"/>
      <c r="Y736" s="23"/>
      <c r="Z736" s="23"/>
      <c r="AA736" s="23"/>
      <c r="AB736" s="23"/>
      <c r="AC736" s="23"/>
    </row>
    <row r="737" spans="1:29" ht="12.3">
      <c r="A737" s="23"/>
      <c r="V737" s="23"/>
      <c r="W737" s="23"/>
      <c r="X737" s="23"/>
      <c r="Y737" s="23"/>
      <c r="Z737" s="23"/>
      <c r="AA737" s="23"/>
      <c r="AB737" s="23"/>
      <c r="AC737" s="23"/>
    </row>
    <row r="738" spans="1:29" ht="12.3">
      <c r="A738" s="23"/>
      <c r="V738" s="23"/>
      <c r="W738" s="23"/>
      <c r="X738" s="23"/>
      <c r="Y738" s="23"/>
      <c r="Z738" s="23"/>
      <c r="AA738" s="23"/>
      <c r="AB738" s="23"/>
      <c r="AC738" s="23"/>
    </row>
    <row r="739" spans="1:29" ht="12.3">
      <c r="A739" s="23"/>
      <c r="V739" s="23"/>
      <c r="W739" s="23"/>
      <c r="X739" s="23"/>
      <c r="Y739" s="23"/>
      <c r="Z739" s="23"/>
      <c r="AA739" s="23"/>
      <c r="AB739" s="23"/>
      <c r="AC739" s="23"/>
    </row>
    <row r="740" spans="1:29" ht="12.3">
      <c r="A740" s="23"/>
      <c r="V740" s="23"/>
      <c r="W740" s="23"/>
      <c r="X740" s="23"/>
      <c r="Y740" s="23"/>
      <c r="Z740" s="23"/>
      <c r="AA740" s="23"/>
      <c r="AB740" s="23"/>
      <c r="AC740" s="23"/>
    </row>
    <row r="741" spans="1:29" ht="12.3">
      <c r="A741" s="23"/>
      <c r="V741" s="23"/>
      <c r="W741" s="23"/>
      <c r="X741" s="23"/>
      <c r="Y741" s="23"/>
      <c r="Z741" s="23"/>
      <c r="AA741" s="23"/>
      <c r="AB741" s="23"/>
      <c r="AC741" s="23"/>
    </row>
    <row r="742" spans="1:29" ht="12.3">
      <c r="A742" s="23"/>
      <c r="V742" s="23"/>
      <c r="W742" s="23"/>
      <c r="X742" s="23"/>
      <c r="Y742" s="23"/>
      <c r="Z742" s="23"/>
      <c r="AA742" s="23"/>
      <c r="AB742" s="23"/>
      <c r="AC742" s="23"/>
    </row>
    <row r="743" spans="1:29" ht="12.3">
      <c r="A743" s="23"/>
      <c r="V743" s="23"/>
      <c r="W743" s="23"/>
      <c r="X743" s="23"/>
      <c r="Y743" s="23"/>
      <c r="Z743" s="23"/>
      <c r="AA743" s="23"/>
      <c r="AB743" s="23"/>
      <c r="AC743" s="23"/>
    </row>
    <row r="744" spans="1:29" ht="12.3">
      <c r="A744" s="23"/>
      <c r="V744" s="23"/>
      <c r="W744" s="23"/>
      <c r="X744" s="23"/>
      <c r="Y744" s="23"/>
      <c r="Z744" s="23"/>
      <c r="AA744" s="23"/>
      <c r="AB744" s="23"/>
      <c r="AC744" s="23"/>
    </row>
    <row r="745" spans="1:29" ht="12.3">
      <c r="A745" s="23"/>
      <c r="V745" s="23"/>
      <c r="W745" s="23"/>
      <c r="X745" s="23"/>
      <c r="Y745" s="23"/>
      <c r="Z745" s="23"/>
      <c r="AA745" s="23"/>
      <c r="AB745" s="23"/>
      <c r="AC745" s="23"/>
    </row>
    <row r="746" spans="1:29" ht="12.3">
      <c r="A746" s="23"/>
      <c r="V746" s="23"/>
      <c r="W746" s="23"/>
      <c r="X746" s="23"/>
      <c r="Y746" s="23"/>
      <c r="Z746" s="23"/>
      <c r="AA746" s="23"/>
      <c r="AB746" s="23"/>
      <c r="AC746" s="23"/>
    </row>
    <row r="747" spans="1:29" ht="12.3">
      <c r="A747" s="23"/>
      <c r="V747" s="23"/>
      <c r="W747" s="23"/>
      <c r="X747" s="23"/>
      <c r="Y747" s="23"/>
      <c r="Z747" s="23"/>
      <c r="AA747" s="23"/>
      <c r="AB747" s="23"/>
      <c r="AC747" s="23"/>
    </row>
    <row r="748" spans="1:29" ht="12.3">
      <c r="A748" s="23"/>
      <c r="V748" s="23"/>
      <c r="W748" s="23"/>
      <c r="X748" s="23"/>
      <c r="Y748" s="23"/>
      <c r="Z748" s="23"/>
      <c r="AA748" s="23"/>
      <c r="AB748" s="23"/>
      <c r="AC748" s="23"/>
    </row>
    <row r="749" spans="1:29" ht="12.3">
      <c r="A749" s="23"/>
      <c r="V749" s="23"/>
      <c r="W749" s="23"/>
      <c r="X749" s="23"/>
      <c r="Y749" s="23"/>
      <c r="Z749" s="23"/>
      <c r="AA749" s="23"/>
      <c r="AB749" s="23"/>
      <c r="AC749" s="23"/>
    </row>
    <row r="750" spans="1:29" ht="12.3">
      <c r="A750" s="23"/>
      <c r="V750" s="23"/>
      <c r="W750" s="23"/>
      <c r="X750" s="23"/>
      <c r="Y750" s="23"/>
      <c r="Z750" s="23"/>
      <c r="AA750" s="23"/>
      <c r="AB750" s="23"/>
      <c r="AC750" s="23"/>
    </row>
    <row r="751" spans="1:29" ht="12.3">
      <c r="A751" s="23"/>
      <c r="V751" s="23"/>
      <c r="W751" s="23"/>
      <c r="X751" s="23"/>
      <c r="Y751" s="23"/>
      <c r="Z751" s="23"/>
      <c r="AA751" s="23"/>
      <c r="AB751" s="23"/>
      <c r="AC751" s="23"/>
    </row>
    <row r="752" spans="1:29" ht="12.3">
      <c r="A752" s="23"/>
      <c r="V752" s="23"/>
      <c r="W752" s="23"/>
      <c r="X752" s="23"/>
      <c r="Y752" s="23"/>
      <c r="Z752" s="23"/>
      <c r="AA752" s="23"/>
      <c r="AB752" s="23"/>
      <c r="AC752" s="23"/>
    </row>
    <row r="753" spans="1:29" ht="12.3">
      <c r="A753" s="23"/>
      <c r="V753" s="23"/>
      <c r="W753" s="23"/>
      <c r="X753" s="23"/>
      <c r="Y753" s="23"/>
      <c r="Z753" s="23"/>
      <c r="AA753" s="23"/>
      <c r="AB753" s="23"/>
      <c r="AC753" s="23"/>
    </row>
    <row r="754" spans="1:29" ht="12.3">
      <c r="A754" s="23"/>
      <c r="V754" s="23"/>
      <c r="W754" s="23"/>
      <c r="X754" s="23"/>
      <c r="Y754" s="23"/>
      <c r="Z754" s="23"/>
      <c r="AA754" s="23"/>
      <c r="AB754" s="23"/>
      <c r="AC754" s="23"/>
    </row>
    <row r="755" spans="1:29" ht="12.3">
      <c r="A755" s="23"/>
      <c r="V755" s="23"/>
      <c r="W755" s="23"/>
      <c r="X755" s="23"/>
      <c r="Y755" s="23"/>
      <c r="Z755" s="23"/>
      <c r="AA755" s="23"/>
      <c r="AB755" s="23"/>
      <c r="AC755" s="23"/>
    </row>
    <row r="756" spans="1:29" ht="12.3">
      <c r="A756" s="23"/>
      <c r="V756" s="23"/>
      <c r="W756" s="23"/>
      <c r="X756" s="23"/>
      <c r="Y756" s="23"/>
      <c r="Z756" s="23"/>
      <c r="AA756" s="23"/>
      <c r="AB756" s="23"/>
      <c r="AC756" s="23"/>
    </row>
    <row r="757" spans="1:29" ht="12.3">
      <c r="A757" s="23"/>
      <c r="V757" s="23"/>
      <c r="W757" s="23"/>
      <c r="X757" s="23"/>
      <c r="Y757" s="23"/>
      <c r="Z757" s="23"/>
      <c r="AA757" s="23"/>
      <c r="AB757" s="23"/>
      <c r="AC757" s="23"/>
    </row>
    <row r="758" spans="1:29" ht="12.3">
      <c r="A758" s="23"/>
      <c r="V758" s="23"/>
      <c r="W758" s="23"/>
      <c r="X758" s="23"/>
      <c r="Y758" s="23"/>
      <c r="Z758" s="23"/>
      <c r="AA758" s="23"/>
      <c r="AB758" s="23"/>
      <c r="AC758" s="23"/>
    </row>
    <row r="759" spans="1:29" ht="12.3">
      <c r="A759" s="23"/>
      <c r="V759" s="23"/>
      <c r="W759" s="23"/>
      <c r="X759" s="23"/>
      <c r="Y759" s="23"/>
      <c r="Z759" s="23"/>
      <c r="AA759" s="23"/>
      <c r="AB759" s="23"/>
      <c r="AC759" s="23"/>
    </row>
    <row r="760" spans="1:29" ht="12.3">
      <c r="A760" s="23"/>
      <c r="V760" s="23"/>
      <c r="W760" s="23"/>
      <c r="X760" s="23"/>
      <c r="Y760" s="23"/>
      <c r="Z760" s="23"/>
      <c r="AA760" s="23"/>
      <c r="AB760" s="23"/>
      <c r="AC760" s="23"/>
    </row>
    <row r="761" spans="1:29" ht="12.3">
      <c r="A761" s="23"/>
      <c r="V761" s="23"/>
      <c r="W761" s="23"/>
      <c r="X761" s="23"/>
      <c r="Y761" s="23"/>
      <c r="Z761" s="23"/>
      <c r="AA761" s="23"/>
      <c r="AB761" s="23"/>
      <c r="AC761" s="23"/>
    </row>
    <row r="762" spans="1:29" ht="12.3">
      <c r="A762" s="23"/>
      <c r="V762" s="23"/>
      <c r="W762" s="23"/>
      <c r="X762" s="23"/>
      <c r="Y762" s="23"/>
      <c r="Z762" s="23"/>
      <c r="AA762" s="23"/>
      <c r="AB762" s="23"/>
      <c r="AC762" s="23"/>
    </row>
    <row r="763" spans="1:29" ht="12.3">
      <c r="A763" s="23"/>
      <c r="V763" s="23"/>
      <c r="W763" s="23"/>
      <c r="X763" s="23"/>
      <c r="Y763" s="23"/>
      <c r="Z763" s="23"/>
      <c r="AA763" s="23"/>
      <c r="AB763" s="23"/>
      <c r="AC763" s="23"/>
    </row>
    <row r="764" spans="1:29" ht="12.3">
      <c r="A764" s="23"/>
      <c r="V764" s="23"/>
      <c r="W764" s="23"/>
      <c r="X764" s="23"/>
      <c r="Y764" s="23"/>
      <c r="Z764" s="23"/>
      <c r="AA764" s="23"/>
      <c r="AB764" s="23"/>
      <c r="AC764" s="23"/>
    </row>
    <row r="765" spans="1:29" ht="12.3">
      <c r="A765" s="23"/>
      <c r="V765" s="23"/>
      <c r="W765" s="23"/>
      <c r="X765" s="23"/>
      <c r="Y765" s="23"/>
      <c r="Z765" s="23"/>
      <c r="AA765" s="23"/>
      <c r="AB765" s="23"/>
      <c r="AC765" s="23"/>
    </row>
    <row r="766" spans="1:29" ht="12.3">
      <c r="A766" s="23"/>
      <c r="V766" s="23"/>
      <c r="W766" s="23"/>
      <c r="X766" s="23"/>
      <c r="Y766" s="23"/>
      <c r="Z766" s="23"/>
      <c r="AA766" s="23"/>
      <c r="AB766" s="23"/>
      <c r="AC766" s="23"/>
    </row>
    <row r="767" spans="1:29" ht="12.3">
      <c r="A767" s="23"/>
      <c r="V767" s="23"/>
      <c r="W767" s="23"/>
      <c r="X767" s="23"/>
      <c r="Y767" s="23"/>
      <c r="Z767" s="23"/>
      <c r="AA767" s="23"/>
      <c r="AB767" s="23"/>
      <c r="AC767" s="23"/>
    </row>
    <row r="768" spans="1:29" ht="12.3">
      <c r="A768" s="23"/>
      <c r="V768" s="23"/>
      <c r="W768" s="23"/>
      <c r="X768" s="23"/>
      <c r="Y768" s="23"/>
      <c r="Z768" s="23"/>
      <c r="AA768" s="23"/>
      <c r="AB768" s="23"/>
      <c r="AC768" s="23"/>
    </row>
    <row r="769" spans="1:29" ht="12.3">
      <c r="A769" s="23"/>
      <c r="V769" s="23"/>
      <c r="W769" s="23"/>
      <c r="X769" s="23"/>
      <c r="Y769" s="23"/>
      <c r="Z769" s="23"/>
      <c r="AA769" s="23"/>
      <c r="AB769" s="23"/>
      <c r="AC769" s="23"/>
    </row>
    <row r="770" spans="1:29" ht="12.3">
      <c r="A770" s="23"/>
      <c r="V770" s="23"/>
      <c r="W770" s="23"/>
      <c r="X770" s="23"/>
      <c r="Y770" s="23"/>
      <c r="Z770" s="23"/>
      <c r="AA770" s="23"/>
      <c r="AB770" s="23"/>
      <c r="AC770" s="23"/>
    </row>
    <row r="771" spans="1:29" ht="12.3">
      <c r="A771" s="23"/>
      <c r="V771" s="23"/>
      <c r="W771" s="23"/>
      <c r="X771" s="23"/>
      <c r="Y771" s="23"/>
      <c r="Z771" s="23"/>
      <c r="AA771" s="23"/>
      <c r="AB771" s="23"/>
      <c r="AC771" s="23"/>
    </row>
    <row r="772" spans="1:29" ht="12.3">
      <c r="A772" s="23"/>
      <c r="V772" s="23"/>
      <c r="W772" s="23"/>
      <c r="X772" s="23"/>
      <c r="Y772" s="23"/>
      <c r="Z772" s="23"/>
      <c r="AA772" s="23"/>
      <c r="AB772" s="23"/>
      <c r="AC772" s="23"/>
    </row>
    <row r="773" spans="1:29" ht="12.3">
      <c r="A773" s="23"/>
      <c r="V773" s="23"/>
      <c r="W773" s="23"/>
      <c r="X773" s="23"/>
      <c r="Y773" s="23"/>
      <c r="Z773" s="23"/>
      <c r="AA773" s="23"/>
      <c r="AB773" s="23"/>
      <c r="AC773" s="23"/>
    </row>
    <row r="774" spans="1:29" ht="12.3">
      <c r="A774" s="23"/>
      <c r="V774" s="23"/>
      <c r="W774" s="23"/>
      <c r="X774" s="23"/>
      <c r="Y774" s="23"/>
      <c r="Z774" s="23"/>
      <c r="AA774" s="23"/>
      <c r="AB774" s="23"/>
      <c r="AC774" s="23"/>
    </row>
    <row r="775" spans="1:29" ht="12.3">
      <c r="A775" s="23"/>
      <c r="V775" s="23"/>
      <c r="W775" s="23"/>
      <c r="X775" s="23"/>
      <c r="Y775" s="23"/>
      <c r="Z775" s="23"/>
      <c r="AA775" s="23"/>
      <c r="AB775" s="23"/>
      <c r="AC775" s="23"/>
    </row>
    <row r="776" spans="1:29" ht="12.3">
      <c r="A776" s="23"/>
      <c r="V776" s="23"/>
      <c r="W776" s="23"/>
      <c r="X776" s="23"/>
      <c r="Y776" s="23"/>
      <c r="Z776" s="23"/>
      <c r="AA776" s="23"/>
      <c r="AB776" s="23"/>
      <c r="AC776" s="23"/>
    </row>
    <row r="777" spans="1:29" ht="12.3">
      <c r="A777" s="23"/>
      <c r="V777" s="23"/>
      <c r="W777" s="23"/>
      <c r="X777" s="23"/>
      <c r="Y777" s="23"/>
      <c r="Z777" s="23"/>
      <c r="AA777" s="23"/>
      <c r="AB777" s="23"/>
      <c r="AC777" s="23"/>
    </row>
    <row r="778" spans="1:29" ht="12.3">
      <c r="A778" s="23"/>
      <c r="V778" s="23"/>
      <c r="W778" s="23"/>
      <c r="X778" s="23"/>
      <c r="Y778" s="23"/>
      <c r="Z778" s="23"/>
      <c r="AA778" s="23"/>
      <c r="AB778" s="23"/>
      <c r="AC778" s="23"/>
    </row>
    <row r="779" spans="1:29" ht="12.3">
      <c r="A779" s="23"/>
      <c r="V779" s="23"/>
      <c r="W779" s="23"/>
      <c r="X779" s="23"/>
      <c r="Y779" s="23"/>
      <c r="Z779" s="23"/>
      <c r="AA779" s="23"/>
      <c r="AB779" s="23"/>
      <c r="AC779" s="23"/>
    </row>
    <row r="780" spans="1:29" ht="12.3">
      <c r="A780" s="23"/>
      <c r="V780" s="23"/>
      <c r="W780" s="23"/>
      <c r="X780" s="23"/>
      <c r="Y780" s="23"/>
      <c r="Z780" s="23"/>
      <c r="AA780" s="23"/>
      <c r="AB780" s="23"/>
      <c r="AC780" s="23"/>
    </row>
    <row r="781" spans="1:29" ht="12.3">
      <c r="A781" s="23"/>
      <c r="V781" s="23"/>
      <c r="W781" s="23"/>
      <c r="X781" s="23"/>
      <c r="Y781" s="23"/>
      <c r="Z781" s="23"/>
      <c r="AA781" s="23"/>
      <c r="AB781" s="23"/>
      <c r="AC781" s="23"/>
    </row>
    <row r="782" spans="1:29" ht="12.3">
      <c r="A782" s="23"/>
      <c r="V782" s="23"/>
      <c r="W782" s="23"/>
      <c r="X782" s="23"/>
      <c r="Y782" s="23"/>
      <c r="Z782" s="23"/>
      <c r="AA782" s="23"/>
      <c r="AB782" s="23"/>
      <c r="AC782" s="23"/>
    </row>
    <row r="783" spans="1:29" ht="12.3">
      <c r="A783" s="23"/>
      <c r="V783" s="23"/>
      <c r="W783" s="23"/>
      <c r="X783" s="23"/>
      <c r="Y783" s="23"/>
      <c r="Z783" s="23"/>
      <c r="AA783" s="23"/>
      <c r="AB783" s="23"/>
      <c r="AC783" s="23"/>
    </row>
    <row r="784" spans="1:29" ht="12.3">
      <c r="A784" s="23"/>
      <c r="V784" s="23"/>
      <c r="W784" s="23"/>
      <c r="X784" s="23"/>
      <c r="Y784" s="23"/>
      <c r="Z784" s="23"/>
      <c r="AA784" s="23"/>
      <c r="AB784" s="23"/>
      <c r="AC784" s="23"/>
    </row>
    <row r="785" spans="1:29" ht="12.3">
      <c r="A785" s="23"/>
      <c r="V785" s="23"/>
      <c r="W785" s="23"/>
      <c r="X785" s="23"/>
      <c r="Y785" s="23"/>
      <c r="Z785" s="23"/>
      <c r="AA785" s="23"/>
      <c r="AB785" s="23"/>
      <c r="AC785" s="23"/>
    </row>
    <row r="786" spans="1:29" ht="12.3">
      <c r="A786" s="23"/>
      <c r="V786" s="23"/>
      <c r="W786" s="23"/>
      <c r="X786" s="23"/>
      <c r="Y786" s="23"/>
      <c r="Z786" s="23"/>
      <c r="AA786" s="23"/>
      <c r="AB786" s="23"/>
      <c r="AC786" s="23"/>
    </row>
    <row r="787" spans="1:29" ht="12.3">
      <c r="A787" s="23"/>
      <c r="V787" s="23"/>
      <c r="W787" s="23"/>
      <c r="X787" s="23"/>
      <c r="Y787" s="23"/>
      <c r="Z787" s="23"/>
      <c r="AA787" s="23"/>
      <c r="AB787" s="23"/>
      <c r="AC787" s="23"/>
    </row>
    <row r="788" spans="1:29" ht="12.3">
      <c r="A788" s="23"/>
      <c r="V788" s="23"/>
      <c r="W788" s="23"/>
      <c r="X788" s="23"/>
      <c r="Y788" s="23"/>
      <c r="Z788" s="23"/>
      <c r="AA788" s="23"/>
      <c r="AB788" s="23"/>
      <c r="AC788" s="23"/>
    </row>
    <row r="789" spans="1:29" ht="12.3">
      <c r="A789" s="23"/>
      <c r="V789" s="23"/>
      <c r="W789" s="23"/>
      <c r="X789" s="23"/>
      <c r="Y789" s="23"/>
      <c r="Z789" s="23"/>
      <c r="AA789" s="23"/>
      <c r="AB789" s="23"/>
      <c r="AC789" s="23"/>
    </row>
    <row r="790" spans="1:29" ht="12.3">
      <c r="A790" s="23"/>
      <c r="V790" s="23"/>
      <c r="W790" s="23"/>
      <c r="X790" s="23"/>
      <c r="Y790" s="23"/>
      <c r="Z790" s="23"/>
      <c r="AA790" s="23"/>
      <c r="AB790" s="23"/>
      <c r="AC790" s="23"/>
    </row>
    <row r="791" spans="1:29" ht="12.3">
      <c r="A791" s="23"/>
      <c r="V791" s="23"/>
      <c r="W791" s="23"/>
      <c r="X791" s="23"/>
      <c r="Y791" s="23"/>
      <c r="Z791" s="23"/>
      <c r="AA791" s="23"/>
      <c r="AB791" s="23"/>
      <c r="AC791" s="23"/>
    </row>
    <row r="792" spans="1:29" ht="12.3">
      <c r="A792" s="23"/>
      <c r="V792" s="23"/>
      <c r="W792" s="23"/>
      <c r="X792" s="23"/>
      <c r="Y792" s="23"/>
      <c r="Z792" s="23"/>
      <c r="AA792" s="23"/>
      <c r="AB792" s="23"/>
      <c r="AC792" s="23"/>
    </row>
    <row r="793" spans="1:29" ht="12.3">
      <c r="A793" s="23"/>
      <c r="V793" s="23"/>
      <c r="W793" s="23"/>
      <c r="X793" s="23"/>
      <c r="Y793" s="23"/>
      <c r="Z793" s="23"/>
      <c r="AA793" s="23"/>
      <c r="AB793" s="23"/>
      <c r="AC793" s="23"/>
    </row>
    <row r="794" spans="1:29" ht="12.3">
      <c r="A794" s="23"/>
      <c r="V794" s="23"/>
      <c r="W794" s="23"/>
      <c r="X794" s="23"/>
      <c r="Y794" s="23"/>
      <c r="Z794" s="23"/>
      <c r="AA794" s="23"/>
      <c r="AB794" s="23"/>
      <c r="AC794" s="23"/>
    </row>
    <row r="795" spans="1:29" ht="12.3">
      <c r="A795" s="23"/>
      <c r="V795" s="23"/>
      <c r="W795" s="23"/>
      <c r="X795" s="23"/>
      <c r="Y795" s="23"/>
      <c r="Z795" s="23"/>
      <c r="AA795" s="23"/>
      <c r="AB795" s="23"/>
      <c r="AC795" s="23"/>
    </row>
    <row r="796" spans="1:29" ht="12.3">
      <c r="A796" s="23"/>
      <c r="V796" s="23"/>
      <c r="W796" s="23"/>
      <c r="X796" s="23"/>
      <c r="Y796" s="23"/>
      <c r="Z796" s="23"/>
      <c r="AA796" s="23"/>
      <c r="AB796" s="23"/>
      <c r="AC796" s="23"/>
    </row>
    <row r="797" spans="1:29" ht="12.3">
      <c r="A797" s="23"/>
      <c r="V797" s="23"/>
      <c r="W797" s="23"/>
      <c r="X797" s="23"/>
      <c r="Y797" s="23"/>
      <c r="Z797" s="23"/>
      <c r="AA797" s="23"/>
      <c r="AB797" s="23"/>
      <c r="AC797" s="23"/>
    </row>
    <row r="798" spans="1:29" ht="12.3">
      <c r="A798" s="23"/>
      <c r="V798" s="23"/>
      <c r="W798" s="23"/>
      <c r="X798" s="23"/>
      <c r="Y798" s="23"/>
      <c r="Z798" s="23"/>
      <c r="AA798" s="23"/>
      <c r="AB798" s="23"/>
      <c r="AC798" s="23"/>
    </row>
    <row r="799" spans="1:29" ht="12.3">
      <c r="A799" s="23"/>
      <c r="V799" s="23"/>
      <c r="W799" s="23"/>
      <c r="X799" s="23"/>
      <c r="Y799" s="23"/>
      <c r="Z799" s="23"/>
      <c r="AA799" s="23"/>
      <c r="AB799" s="23"/>
      <c r="AC799" s="23"/>
    </row>
    <row r="800" spans="1:29" ht="12.3">
      <c r="A800" s="23"/>
      <c r="V800" s="23"/>
      <c r="W800" s="23"/>
      <c r="X800" s="23"/>
      <c r="Y800" s="23"/>
      <c r="Z800" s="23"/>
      <c r="AA800" s="23"/>
      <c r="AB800" s="23"/>
      <c r="AC800" s="23"/>
    </row>
    <row r="801" spans="1:29" ht="12.3">
      <c r="A801" s="23"/>
      <c r="V801" s="23"/>
      <c r="W801" s="23"/>
      <c r="X801" s="23"/>
      <c r="Y801" s="23"/>
      <c r="Z801" s="23"/>
      <c r="AA801" s="23"/>
      <c r="AB801" s="23"/>
      <c r="AC801" s="23"/>
    </row>
    <row r="802" spans="1:29" ht="12.3">
      <c r="A802" s="23"/>
      <c r="V802" s="23"/>
      <c r="W802" s="23"/>
      <c r="X802" s="23"/>
      <c r="Y802" s="23"/>
      <c r="Z802" s="23"/>
      <c r="AA802" s="23"/>
      <c r="AB802" s="23"/>
      <c r="AC802" s="23"/>
    </row>
    <row r="803" spans="1:29" ht="12.3">
      <c r="A803" s="23"/>
      <c r="V803" s="23"/>
      <c r="W803" s="23"/>
      <c r="X803" s="23"/>
      <c r="Y803" s="23"/>
      <c r="Z803" s="23"/>
      <c r="AA803" s="23"/>
      <c r="AB803" s="23"/>
      <c r="AC803" s="23"/>
    </row>
    <row r="804" spans="1:29" ht="12.3">
      <c r="A804" s="23"/>
      <c r="V804" s="23"/>
      <c r="W804" s="23"/>
      <c r="X804" s="23"/>
      <c r="Y804" s="23"/>
      <c r="Z804" s="23"/>
      <c r="AA804" s="23"/>
      <c r="AB804" s="23"/>
      <c r="AC804" s="23"/>
    </row>
    <row r="805" spans="1:29" ht="12.3">
      <c r="A805" s="23"/>
      <c r="V805" s="23"/>
      <c r="W805" s="23"/>
      <c r="X805" s="23"/>
      <c r="Y805" s="23"/>
      <c r="Z805" s="23"/>
      <c r="AA805" s="23"/>
      <c r="AB805" s="23"/>
      <c r="AC805" s="23"/>
    </row>
    <row r="806" spans="1:29" ht="12.3">
      <c r="A806" s="23"/>
      <c r="V806" s="23"/>
      <c r="W806" s="23"/>
      <c r="X806" s="23"/>
      <c r="Y806" s="23"/>
      <c r="Z806" s="23"/>
      <c r="AA806" s="23"/>
      <c r="AB806" s="23"/>
      <c r="AC806" s="23"/>
    </row>
    <row r="807" spans="1:29" ht="12.3">
      <c r="A807" s="23"/>
      <c r="V807" s="23"/>
      <c r="W807" s="23"/>
      <c r="X807" s="23"/>
      <c r="Y807" s="23"/>
      <c r="Z807" s="23"/>
      <c r="AA807" s="23"/>
      <c r="AB807" s="23"/>
      <c r="AC807" s="23"/>
    </row>
    <row r="808" spans="1:29" ht="12.3">
      <c r="A808" s="23"/>
      <c r="V808" s="23"/>
      <c r="W808" s="23"/>
      <c r="X808" s="23"/>
      <c r="Y808" s="23"/>
      <c r="Z808" s="23"/>
      <c r="AA808" s="23"/>
      <c r="AB808" s="23"/>
      <c r="AC808" s="23"/>
    </row>
    <row r="809" spans="1:29" ht="12.3">
      <c r="A809" s="23"/>
      <c r="V809" s="23"/>
      <c r="W809" s="23"/>
      <c r="X809" s="23"/>
      <c r="Y809" s="23"/>
      <c r="Z809" s="23"/>
      <c r="AA809" s="23"/>
      <c r="AB809" s="23"/>
      <c r="AC809" s="23"/>
    </row>
    <row r="810" spans="1:29" ht="12.3">
      <c r="A810" s="23"/>
      <c r="V810" s="23"/>
      <c r="W810" s="23"/>
      <c r="X810" s="23"/>
      <c r="Y810" s="23"/>
      <c r="Z810" s="23"/>
      <c r="AA810" s="23"/>
      <c r="AB810" s="23"/>
      <c r="AC810" s="23"/>
    </row>
    <row r="811" spans="1:29" ht="12.3">
      <c r="A811" s="23"/>
      <c r="V811" s="23"/>
      <c r="W811" s="23"/>
      <c r="X811" s="23"/>
      <c r="Y811" s="23"/>
      <c r="Z811" s="23"/>
      <c r="AA811" s="23"/>
      <c r="AB811" s="23"/>
      <c r="AC811" s="23"/>
    </row>
    <row r="812" spans="1:29" ht="12.3">
      <c r="A812" s="23"/>
      <c r="V812" s="23"/>
      <c r="W812" s="23"/>
      <c r="X812" s="23"/>
      <c r="Y812" s="23"/>
      <c r="Z812" s="23"/>
      <c r="AA812" s="23"/>
      <c r="AB812" s="23"/>
      <c r="AC812" s="23"/>
    </row>
    <row r="813" spans="1:29" ht="12.3">
      <c r="A813" s="23"/>
      <c r="V813" s="23"/>
      <c r="W813" s="23"/>
      <c r="X813" s="23"/>
      <c r="Y813" s="23"/>
      <c r="Z813" s="23"/>
      <c r="AA813" s="23"/>
      <c r="AB813" s="23"/>
      <c r="AC813" s="23"/>
    </row>
    <row r="814" spans="1:29" ht="12.3">
      <c r="A814" s="23"/>
      <c r="V814" s="23"/>
      <c r="W814" s="23"/>
      <c r="X814" s="23"/>
      <c r="Y814" s="23"/>
      <c r="Z814" s="23"/>
      <c r="AA814" s="23"/>
      <c r="AB814" s="23"/>
      <c r="AC814" s="23"/>
    </row>
    <row r="815" spans="1:29" ht="12.3">
      <c r="A815" s="23"/>
      <c r="V815" s="23"/>
      <c r="W815" s="23"/>
      <c r="X815" s="23"/>
      <c r="Y815" s="23"/>
      <c r="Z815" s="23"/>
      <c r="AA815" s="23"/>
      <c r="AB815" s="23"/>
      <c r="AC815" s="23"/>
    </row>
    <row r="816" spans="1:29" ht="12.3">
      <c r="A816" s="23"/>
      <c r="V816" s="23"/>
      <c r="W816" s="23"/>
      <c r="X816" s="23"/>
      <c r="Y816" s="23"/>
      <c r="Z816" s="23"/>
      <c r="AA816" s="23"/>
      <c r="AB816" s="23"/>
      <c r="AC816" s="23"/>
    </row>
    <row r="817" spans="1:29" ht="12.3">
      <c r="A817" s="23"/>
      <c r="V817" s="23"/>
      <c r="W817" s="23"/>
      <c r="X817" s="23"/>
      <c r="Y817" s="23"/>
      <c r="Z817" s="23"/>
      <c r="AA817" s="23"/>
      <c r="AB817" s="23"/>
      <c r="AC817" s="23"/>
    </row>
    <row r="818" spans="1:29" ht="12.3">
      <c r="A818" s="23"/>
      <c r="V818" s="23"/>
      <c r="W818" s="23"/>
      <c r="X818" s="23"/>
      <c r="Y818" s="23"/>
      <c r="Z818" s="23"/>
      <c r="AA818" s="23"/>
      <c r="AB818" s="23"/>
      <c r="AC818" s="23"/>
    </row>
    <row r="819" spans="1:29" ht="12.3">
      <c r="A819" s="23"/>
      <c r="V819" s="23"/>
      <c r="W819" s="23"/>
      <c r="X819" s="23"/>
      <c r="Y819" s="23"/>
      <c r="Z819" s="23"/>
      <c r="AA819" s="23"/>
      <c r="AB819" s="23"/>
      <c r="AC819" s="23"/>
    </row>
    <row r="820" spans="1:29" ht="12.3">
      <c r="A820" s="23"/>
      <c r="V820" s="23"/>
      <c r="W820" s="23"/>
      <c r="X820" s="23"/>
      <c r="Y820" s="23"/>
      <c r="Z820" s="23"/>
      <c r="AA820" s="23"/>
      <c r="AB820" s="23"/>
      <c r="AC820" s="23"/>
    </row>
    <row r="821" spans="1:29" ht="12.3">
      <c r="A821" s="23"/>
      <c r="V821" s="23"/>
      <c r="W821" s="23"/>
      <c r="X821" s="23"/>
      <c r="Y821" s="23"/>
      <c r="Z821" s="23"/>
      <c r="AA821" s="23"/>
      <c r="AB821" s="23"/>
      <c r="AC821" s="23"/>
    </row>
    <row r="822" spans="1:29" ht="12.3">
      <c r="A822" s="23"/>
      <c r="V822" s="23"/>
      <c r="W822" s="23"/>
      <c r="X822" s="23"/>
      <c r="Y822" s="23"/>
      <c r="Z822" s="23"/>
      <c r="AA822" s="23"/>
      <c r="AB822" s="23"/>
      <c r="AC822" s="23"/>
    </row>
    <row r="823" spans="1:29" ht="12.3">
      <c r="A823" s="23"/>
      <c r="V823" s="23"/>
      <c r="W823" s="23"/>
      <c r="X823" s="23"/>
      <c r="Y823" s="23"/>
      <c r="Z823" s="23"/>
      <c r="AA823" s="23"/>
      <c r="AB823" s="23"/>
      <c r="AC823" s="23"/>
    </row>
    <row r="824" spans="1:29" ht="12.3">
      <c r="A824" s="23"/>
      <c r="V824" s="23"/>
      <c r="W824" s="23"/>
      <c r="X824" s="23"/>
      <c r="Y824" s="23"/>
      <c r="Z824" s="23"/>
      <c r="AA824" s="23"/>
      <c r="AB824" s="23"/>
      <c r="AC824" s="23"/>
    </row>
    <row r="825" spans="1:29" ht="12.3">
      <c r="A825" s="23"/>
      <c r="V825" s="23"/>
      <c r="W825" s="23"/>
      <c r="X825" s="23"/>
      <c r="Y825" s="23"/>
      <c r="Z825" s="23"/>
      <c r="AA825" s="23"/>
      <c r="AB825" s="23"/>
      <c r="AC825" s="23"/>
    </row>
    <row r="826" spans="1:29" ht="12.3">
      <c r="A826" s="23"/>
      <c r="V826" s="23"/>
      <c r="W826" s="23"/>
      <c r="X826" s="23"/>
      <c r="Y826" s="23"/>
      <c r="Z826" s="23"/>
      <c r="AA826" s="23"/>
      <c r="AB826" s="23"/>
      <c r="AC826" s="23"/>
    </row>
    <row r="827" spans="1:29" ht="12.3">
      <c r="A827" s="23"/>
      <c r="V827" s="23"/>
      <c r="W827" s="23"/>
      <c r="X827" s="23"/>
      <c r="Y827" s="23"/>
      <c r="Z827" s="23"/>
      <c r="AA827" s="23"/>
      <c r="AB827" s="23"/>
      <c r="AC827" s="23"/>
    </row>
    <row r="828" spans="1:29" ht="12.3">
      <c r="A828" s="23"/>
      <c r="V828" s="23"/>
      <c r="W828" s="23"/>
      <c r="X828" s="23"/>
      <c r="Y828" s="23"/>
      <c r="Z828" s="23"/>
      <c r="AA828" s="23"/>
      <c r="AB828" s="23"/>
      <c r="AC828" s="23"/>
    </row>
    <row r="829" spans="1:29" ht="12.3">
      <c r="A829" s="23"/>
      <c r="V829" s="23"/>
      <c r="W829" s="23"/>
      <c r="X829" s="23"/>
      <c r="Y829" s="23"/>
      <c r="Z829" s="23"/>
      <c r="AA829" s="23"/>
      <c r="AB829" s="23"/>
      <c r="AC829" s="23"/>
    </row>
    <row r="830" spans="1:29" ht="12.3">
      <c r="A830" s="23"/>
      <c r="V830" s="23"/>
      <c r="W830" s="23"/>
      <c r="X830" s="23"/>
      <c r="Y830" s="23"/>
      <c r="Z830" s="23"/>
      <c r="AA830" s="23"/>
      <c r="AB830" s="23"/>
      <c r="AC830" s="23"/>
    </row>
    <row r="831" spans="1:29" ht="12.3">
      <c r="A831" s="23"/>
      <c r="V831" s="23"/>
      <c r="W831" s="23"/>
      <c r="X831" s="23"/>
      <c r="Y831" s="23"/>
      <c r="Z831" s="23"/>
      <c r="AA831" s="23"/>
      <c r="AB831" s="23"/>
      <c r="AC831" s="23"/>
    </row>
    <row r="832" spans="1:29" ht="12.3">
      <c r="A832" s="23"/>
      <c r="V832" s="23"/>
      <c r="W832" s="23"/>
      <c r="X832" s="23"/>
      <c r="Y832" s="23"/>
      <c r="Z832" s="23"/>
      <c r="AA832" s="23"/>
      <c r="AB832" s="23"/>
      <c r="AC832" s="23"/>
    </row>
    <row r="833" spans="1:29" ht="12.3">
      <c r="A833" s="23"/>
      <c r="V833" s="23"/>
      <c r="W833" s="23"/>
      <c r="X833" s="23"/>
      <c r="Y833" s="23"/>
      <c r="Z833" s="23"/>
      <c r="AA833" s="23"/>
      <c r="AB833" s="23"/>
      <c r="AC833" s="23"/>
    </row>
    <row r="834" spans="1:29" ht="12.3">
      <c r="A834" s="23"/>
      <c r="V834" s="23"/>
      <c r="W834" s="23"/>
      <c r="X834" s="23"/>
      <c r="Y834" s="23"/>
      <c r="Z834" s="23"/>
      <c r="AA834" s="23"/>
      <c r="AB834" s="23"/>
      <c r="AC834" s="23"/>
    </row>
    <row r="835" spans="1:29" ht="12.3">
      <c r="A835" s="23"/>
      <c r="V835" s="23"/>
      <c r="W835" s="23"/>
      <c r="X835" s="23"/>
      <c r="Y835" s="23"/>
      <c r="Z835" s="23"/>
      <c r="AA835" s="23"/>
      <c r="AB835" s="23"/>
      <c r="AC835" s="23"/>
    </row>
    <row r="836" spans="1:29" ht="12.3">
      <c r="A836" s="23"/>
      <c r="V836" s="23"/>
      <c r="W836" s="23"/>
      <c r="X836" s="23"/>
      <c r="Y836" s="23"/>
      <c r="Z836" s="23"/>
      <c r="AA836" s="23"/>
      <c r="AB836" s="23"/>
      <c r="AC836" s="23"/>
    </row>
    <row r="837" spans="1:29" ht="12.3">
      <c r="A837" s="23"/>
      <c r="V837" s="23"/>
      <c r="W837" s="23"/>
      <c r="X837" s="23"/>
      <c r="Y837" s="23"/>
      <c r="Z837" s="23"/>
      <c r="AA837" s="23"/>
      <c r="AB837" s="23"/>
      <c r="AC837" s="23"/>
    </row>
    <row r="838" spans="1:29" ht="12.3">
      <c r="A838" s="23"/>
      <c r="V838" s="23"/>
      <c r="W838" s="23"/>
      <c r="X838" s="23"/>
      <c r="Y838" s="23"/>
      <c r="Z838" s="23"/>
      <c r="AA838" s="23"/>
      <c r="AB838" s="23"/>
      <c r="AC838" s="23"/>
    </row>
    <row r="839" spans="1:29" ht="12.3">
      <c r="A839" s="23"/>
      <c r="V839" s="23"/>
      <c r="W839" s="23"/>
      <c r="X839" s="23"/>
      <c r="Y839" s="23"/>
      <c r="Z839" s="23"/>
      <c r="AA839" s="23"/>
      <c r="AB839" s="23"/>
      <c r="AC839" s="23"/>
    </row>
    <row r="840" spans="1:29" ht="12.3">
      <c r="A840" s="23"/>
      <c r="V840" s="23"/>
      <c r="W840" s="23"/>
      <c r="X840" s="23"/>
      <c r="Y840" s="23"/>
      <c r="Z840" s="23"/>
      <c r="AA840" s="23"/>
      <c r="AB840" s="23"/>
      <c r="AC840" s="23"/>
    </row>
    <row r="841" spans="1:29" ht="12.3">
      <c r="A841" s="23"/>
      <c r="V841" s="23"/>
      <c r="W841" s="23"/>
      <c r="X841" s="23"/>
      <c r="Y841" s="23"/>
      <c r="Z841" s="23"/>
      <c r="AA841" s="23"/>
      <c r="AB841" s="23"/>
      <c r="AC841" s="23"/>
    </row>
    <row r="842" spans="1:29" ht="12.3">
      <c r="A842" s="23"/>
      <c r="V842" s="23"/>
      <c r="W842" s="23"/>
      <c r="X842" s="23"/>
      <c r="Y842" s="23"/>
      <c r="Z842" s="23"/>
      <c r="AA842" s="23"/>
      <c r="AB842" s="23"/>
      <c r="AC842" s="23"/>
    </row>
    <row r="843" spans="1:29" ht="12.3">
      <c r="A843" s="23"/>
      <c r="V843" s="23"/>
      <c r="W843" s="23"/>
      <c r="X843" s="23"/>
      <c r="Y843" s="23"/>
      <c r="Z843" s="23"/>
      <c r="AA843" s="23"/>
      <c r="AB843" s="23"/>
      <c r="AC843" s="23"/>
    </row>
    <row r="844" spans="1:29" ht="12.3">
      <c r="A844" s="23"/>
      <c r="V844" s="23"/>
      <c r="W844" s="23"/>
      <c r="X844" s="23"/>
      <c r="Y844" s="23"/>
      <c r="Z844" s="23"/>
      <c r="AA844" s="23"/>
      <c r="AB844" s="23"/>
      <c r="AC844" s="23"/>
    </row>
    <row r="845" spans="1:29" ht="12.3">
      <c r="A845" s="23"/>
      <c r="V845" s="23"/>
      <c r="W845" s="23"/>
      <c r="X845" s="23"/>
      <c r="Y845" s="23"/>
      <c r="Z845" s="23"/>
      <c r="AA845" s="23"/>
      <c r="AB845" s="23"/>
      <c r="AC845" s="23"/>
    </row>
    <row r="846" spans="1:29" ht="12.3">
      <c r="A846" s="23"/>
      <c r="V846" s="23"/>
      <c r="W846" s="23"/>
      <c r="X846" s="23"/>
      <c r="Y846" s="23"/>
      <c r="Z846" s="23"/>
      <c r="AA846" s="23"/>
      <c r="AB846" s="23"/>
      <c r="AC846" s="23"/>
    </row>
    <row r="847" spans="1:29" ht="12.3">
      <c r="A847" s="23"/>
      <c r="V847" s="23"/>
      <c r="W847" s="23"/>
      <c r="X847" s="23"/>
      <c r="Y847" s="23"/>
      <c r="Z847" s="23"/>
      <c r="AA847" s="23"/>
      <c r="AB847" s="23"/>
      <c r="AC847" s="23"/>
    </row>
    <row r="848" spans="1:29" ht="12.3">
      <c r="A848" s="23"/>
      <c r="V848" s="23"/>
      <c r="W848" s="23"/>
      <c r="X848" s="23"/>
      <c r="Y848" s="23"/>
      <c r="Z848" s="23"/>
      <c r="AA848" s="23"/>
      <c r="AB848" s="23"/>
      <c r="AC848" s="23"/>
    </row>
    <row r="849" spans="1:29" ht="12.3">
      <c r="A849" s="23"/>
      <c r="V849" s="23"/>
      <c r="W849" s="23"/>
      <c r="X849" s="23"/>
      <c r="Y849" s="23"/>
      <c r="Z849" s="23"/>
      <c r="AA849" s="23"/>
      <c r="AB849" s="23"/>
      <c r="AC849" s="23"/>
    </row>
    <row r="850" spans="1:29" ht="12.3">
      <c r="A850" s="23"/>
      <c r="V850" s="23"/>
      <c r="W850" s="23"/>
      <c r="X850" s="23"/>
      <c r="Y850" s="23"/>
      <c r="Z850" s="23"/>
      <c r="AA850" s="23"/>
      <c r="AB850" s="23"/>
      <c r="AC850" s="23"/>
    </row>
    <row r="851" spans="1:29" ht="12.3">
      <c r="A851" s="23"/>
      <c r="V851" s="23"/>
      <c r="W851" s="23"/>
      <c r="X851" s="23"/>
      <c r="Y851" s="23"/>
      <c r="Z851" s="23"/>
      <c r="AA851" s="23"/>
      <c r="AB851" s="23"/>
      <c r="AC851" s="23"/>
    </row>
    <row r="852" spans="1:29" ht="12.3">
      <c r="A852" s="23"/>
      <c r="V852" s="23"/>
      <c r="W852" s="23"/>
      <c r="X852" s="23"/>
      <c r="Y852" s="23"/>
      <c r="Z852" s="23"/>
      <c r="AA852" s="23"/>
      <c r="AB852" s="23"/>
      <c r="AC852" s="23"/>
    </row>
    <row r="853" spans="1:29" ht="12.3">
      <c r="A853" s="23"/>
      <c r="V853" s="23"/>
      <c r="W853" s="23"/>
      <c r="X853" s="23"/>
      <c r="Y853" s="23"/>
      <c r="Z853" s="23"/>
      <c r="AA853" s="23"/>
      <c r="AB853" s="23"/>
      <c r="AC853" s="23"/>
    </row>
    <row r="854" spans="1:29" ht="12.3">
      <c r="A854" s="23"/>
      <c r="V854" s="23"/>
      <c r="W854" s="23"/>
      <c r="X854" s="23"/>
      <c r="Y854" s="23"/>
      <c r="Z854" s="23"/>
      <c r="AA854" s="23"/>
      <c r="AB854" s="23"/>
      <c r="AC854" s="23"/>
    </row>
    <row r="855" spans="1:29" ht="12.3">
      <c r="A855" s="23"/>
      <c r="V855" s="23"/>
      <c r="W855" s="23"/>
      <c r="X855" s="23"/>
      <c r="Y855" s="23"/>
      <c r="Z855" s="23"/>
      <c r="AA855" s="23"/>
      <c r="AB855" s="23"/>
      <c r="AC855" s="23"/>
    </row>
    <row r="856" spans="1:29" ht="12.3">
      <c r="A856" s="23"/>
      <c r="V856" s="23"/>
      <c r="W856" s="23"/>
      <c r="X856" s="23"/>
      <c r="Y856" s="23"/>
      <c r="Z856" s="23"/>
      <c r="AA856" s="23"/>
      <c r="AB856" s="23"/>
      <c r="AC856" s="23"/>
    </row>
    <row r="857" spans="1:29" ht="12.3">
      <c r="A857" s="23"/>
      <c r="V857" s="23"/>
      <c r="W857" s="23"/>
      <c r="X857" s="23"/>
      <c r="Y857" s="23"/>
      <c r="Z857" s="23"/>
      <c r="AA857" s="23"/>
      <c r="AB857" s="23"/>
      <c r="AC857" s="23"/>
    </row>
    <row r="858" spans="1:29" ht="12.3">
      <c r="A858" s="23"/>
      <c r="V858" s="23"/>
      <c r="W858" s="23"/>
      <c r="X858" s="23"/>
      <c r="Y858" s="23"/>
      <c r="Z858" s="23"/>
      <c r="AA858" s="23"/>
      <c r="AB858" s="23"/>
      <c r="AC858" s="23"/>
    </row>
    <row r="859" spans="1:29" ht="12.3">
      <c r="A859" s="23"/>
      <c r="V859" s="23"/>
      <c r="W859" s="23"/>
      <c r="X859" s="23"/>
      <c r="Y859" s="23"/>
      <c r="Z859" s="23"/>
      <c r="AA859" s="23"/>
      <c r="AB859" s="23"/>
      <c r="AC859" s="23"/>
    </row>
    <row r="860" spans="1:29" ht="12.3">
      <c r="A860" s="23"/>
      <c r="V860" s="23"/>
      <c r="W860" s="23"/>
      <c r="X860" s="23"/>
      <c r="Y860" s="23"/>
      <c r="Z860" s="23"/>
      <c r="AA860" s="23"/>
      <c r="AB860" s="23"/>
      <c r="AC860" s="23"/>
    </row>
    <row r="861" spans="1:29" ht="12.3">
      <c r="A861" s="23"/>
      <c r="V861" s="23"/>
      <c r="W861" s="23"/>
      <c r="X861" s="23"/>
      <c r="Y861" s="23"/>
      <c r="Z861" s="23"/>
      <c r="AA861" s="23"/>
      <c r="AB861" s="23"/>
      <c r="AC861" s="23"/>
    </row>
    <row r="862" spans="1:29" ht="12.3">
      <c r="A862" s="23"/>
      <c r="V862" s="23"/>
      <c r="W862" s="23"/>
      <c r="X862" s="23"/>
      <c r="Y862" s="23"/>
      <c r="Z862" s="23"/>
      <c r="AA862" s="23"/>
      <c r="AB862" s="23"/>
      <c r="AC862" s="23"/>
    </row>
    <row r="863" spans="1:29" ht="12.3">
      <c r="A863" s="23"/>
      <c r="V863" s="23"/>
      <c r="W863" s="23"/>
      <c r="X863" s="23"/>
      <c r="Y863" s="23"/>
      <c r="Z863" s="23"/>
      <c r="AA863" s="23"/>
      <c r="AB863" s="23"/>
      <c r="AC863" s="23"/>
    </row>
    <row r="864" spans="1:29" ht="12.3">
      <c r="A864" s="23"/>
      <c r="V864" s="23"/>
      <c r="W864" s="23"/>
      <c r="X864" s="23"/>
      <c r="Y864" s="23"/>
      <c r="Z864" s="23"/>
      <c r="AA864" s="23"/>
      <c r="AB864" s="23"/>
      <c r="AC864" s="23"/>
    </row>
    <row r="865" spans="1:29" ht="12.3">
      <c r="A865" s="23"/>
      <c r="V865" s="23"/>
      <c r="W865" s="23"/>
      <c r="X865" s="23"/>
      <c r="Y865" s="23"/>
      <c r="Z865" s="23"/>
      <c r="AA865" s="23"/>
      <c r="AB865" s="23"/>
      <c r="AC865" s="23"/>
    </row>
    <row r="866" spans="1:29" ht="12.3">
      <c r="A866" s="23"/>
      <c r="V866" s="23"/>
      <c r="W866" s="23"/>
      <c r="X866" s="23"/>
      <c r="Y866" s="23"/>
      <c r="Z866" s="23"/>
      <c r="AA866" s="23"/>
      <c r="AB866" s="23"/>
      <c r="AC866" s="23"/>
    </row>
    <row r="867" spans="1:29" ht="12.3">
      <c r="A867" s="23"/>
      <c r="V867" s="23"/>
      <c r="W867" s="23"/>
      <c r="X867" s="23"/>
      <c r="Y867" s="23"/>
      <c r="Z867" s="23"/>
      <c r="AA867" s="23"/>
      <c r="AB867" s="23"/>
      <c r="AC867" s="23"/>
    </row>
    <row r="868" spans="1:29" ht="12.3">
      <c r="A868" s="23"/>
      <c r="V868" s="23"/>
      <c r="W868" s="23"/>
      <c r="X868" s="23"/>
      <c r="Y868" s="23"/>
      <c r="Z868" s="23"/>
      <c r="AA868" s="23"/>
      <c r="AB868" s="23"/>
      <c r="AC868" s="23"/>
    </row>
    <row r="869" spans="1:29" ht="12.3">
      <c r="A869" s="23"/>
      <c r="V869" s="23"/>
      <c r="W869" s="23"/>
      <c r="X869" s="23"/>
      <c r="Y869" s="23"/>
      <c r="Z869" s="23"/>
      <c r="AA869" s="23"/>
      <c r="AB869" s="23"/>
      <c r="AC869" s="23"/>
    </row>
    <row r="870" spans="1:29" ht="12.3">
      <c r="A870" s="23"/>
      <c r="V870" s="23"/>
      <c r="W870" s="23"/>
      <c r="X870" s="23"/>
      <c r="Y870" s="23"/>
      <c r="Z870" s="23"/>
      <c r="AA870" s="23"/>
      <c r="AB870" s="23"/>
      <c r="AC870" s="23"/>
    </row>
    <row r="871" spans="1:29" ht="12.3">
      <c r="A871" s="23"/>
      <c r="V871" s="23"/>
      <c r="W871" s="23"/>
      <c r="X871" s="23"/>
      <c r="Y871" s="23"/>
      <c r="Z871" s="23"/>
      <c r="AA871" s="23"/>
      <c r="AB871" s="23"/>
      <c r="AC871" s="23"/>
    </row>
    <row r="872" spans="1:29" ht="12.3">
      <c r="A872" s="23"/>
      <c r="V872" s="23"/>
      <c r="W872" s="23"/>
      <c r="X872" s="23"/>
      <c r="Y872" s="23"/>
      <c r="Z872" s="23"/>
      <c r="AA872" s="23"/>
      <c r="AB872" s="23"/>
      <c r="AC872" s="23"/>
    </row>
    <row r="873" spans="1:29" ht="12.3">
      <c r="A873" s="23"/>
      <c r="V873" s="23"/>
      <c r="W873" s="23"/>
      <c r="X873" s="23"/>
      <c r="Y873" s="23"/>
      <c r="Z873" s="23"/>
      <c r="AA873" s="23"/>
      <c r="AB873" s="23"/>
      <c r="AC873" s="23"/>
    </row>
    <row r="874" spans="1:29" ht="12.3">
      <c r="A874" s="23"/>
      <c r="V874" s="23"/>
      <c r="W874" s="23"/>
      <c r="X874" s="23"/>
      <c r="Y874" s="23"/>
      <c r="Z874" s="23"/>
      <c r="AA874" s="23"/>
      <c r="AB874" s="23"/>
      <c r="AC874" s="23"/>
    </row>
    <row r="875" spans="1:29" ht="12.3">
      <c r="A875" s="23"/>
      <c r="V875" s="23"/>
      <c r="W875" s="23"/>
      <c r="X875" s="23"/>
      <c r="Y875" s="23"/>
      <c r="Z875" s="23"/>
      <c r="AA875" s="23"/>
      <c r="AB875" s="23"/>
      <c r="AC875" s="23"/>
    </row>
    <row r="876" spans="1:29" ht="12.3">
      <c r="A876" s="23"/>
      <c r="V876" s="23"/>
      <c r="W876" s="23"/>
      <c r="X876" s="23"/>
      <c r="Y876" s="23"/>
      <c r="Z876" s="23"/>
      <c r="AA876" s="23"/>
      <c r="AB876" s="23"/>
      <c r="AC876" s="23"/>
    </row>
    <row r="877" spans="1:29" ht="12.3">
      <c r="A877" s="23"/>
      <c r="V877" s="23"/>
      <c r="W877" s="23"/>
      <c r="X877" s="23"/>
      <c r="Y877" s="23"/>
      <c r="Z877" s="23"/>
      <c r="AA877" s="23"/>
      <c r="AB877" s="23"/>
      <c r="AC877" s="23"/>
    </row>
    <row r="878" spans="1:29" ht="12.3">
      <c r="A878" s="23"/>
      <c r="V878" s="23"/>
      <c r="W878" s="23"/>
      <c r="X878" s="23"/>
      <c r="Y878" s="23"/>
      <c r="Z878" s="23"/>
      <c r="AA878" s="23"/>
      <c r="AB878" s="23"/>
      <c r="AC878" s="23"/>
    </row>
    <row r="879" spans="1:29" ht="12.3">
      <c r="A879" s="23"/>
      <c r="V879" s="23"/>
      <c r="W879" s="23"/>
      <c r="X879" s="23"/>
      <c r="Y879" s="23"/>
      <c r="Z879" s="23"/>
      <c r="AA879" s="23"/>
      <c r="AB879" s="23"/>
      <c r="AC879" s="23"/>
    </row>
    <row r="880" spans="1:29" ht="12.3">
      <c r="A880" s="23"/>
      <c r="V880" s="23"/>
      <c r="W880" s="23"/>
      <c r="X880" s="23"/>
      <c r="Y880" s="23"/>
      <c r="Z880" s="23"/>
      <c r="AA880" s="23"/>
      <c r="AB880" s="23"/>
      <c r="AC880" s="23"/>
    </row>
    <row r="881" spans="1:29" ht="12.3">
      <c r="A881" s="23"/>
      <c r="V881" s="23"/>
      <c r="W881" s="23"/>
      <c r="X881" s="23"/>
      <c r="Y881" s="23"/>
      <c r="Z881" s="23"/>
      <c r="AA881" s="23"/>
      <c r="AB881" s="23"/>
      <c r="AC881" s="23"/>
    </row>
    <row r="882" spans="1:29" ht="12.3">
      <c r="A882" s="23"/>
      <c r="V882" s="23"/>
      <c r="W882" s="23"/>
      <c r="X882" s="23"/>
      <c r="Y882" s="23"/>
      <c r="Z882" s="23"/>
      <c r="AA882" s="23"/>
      <c r="AB882" s="23"/>
      <c r="AC882" s="23"/>
    </row>
    <row r="883" spans="1:29" ht="12.3">
      <c r="A883" s="23"/>
      <c r="V883" s="23"/>
      <c r="W883" s="23"/>
      <c r="X883" s="23"/>
      <c r="Y883" s="23"/>
      <c r="Z883" s="23"/>
      <c r="AA883" s="23"/>
      <c r="AB883" s="23"/>
      <c r="AC883" s="23"/>
    </row>
    <row r="884" spans="1:29" ht="12.3">
      <c r="A884" s="23"/>
      <c r="V884" s="23"/>
      <c r="W884" s="23"/>
      <c r="X884" s="23"/>
      <c r="Y884" s="23"/>
      <c r="Z884" s="23"/>
      <c r="AA884" s="23"/>
      <c r="AB884" s="23"/>
      <c r="AC884" s="23"/>
    </row>
    <row r="885" spans="1:29" ht="12.3">
      <c r="A885" s="23"/>
      <c r="V885" s="23"/>
      <c r="W885" s="23"/>
      <c r="X885" s="23"/>
      <c r="Y885" s="23"/>
      <c r="Z885" s="23"/>
      <c r="AA885" s="23"/>
      <c r="AB885" s="23"/>
      <c r="AC885" s="23"/>
    </row>
    <row r="886" spans="1:29" ht="12.3">
      <c r="A886" s="23"/>
      <c r="V886" s="23"/>
      <c r="W886" s="23"/>
      <c r="X886" s="23"/>
      <c r="Y886" s="23"/>
      <c r="Z886" s="23"/>
      <c r="AA886" s="23"/>
      <c r="AB886" s="23"/>
      <c r="AC886" s="23"/>
    </row>
    <row r="887" spans="1:29" ht="12.3">
      <c r="A887" s="23"/>
      <c r="V887" s="23"/>
      <c r="W887" s="23"/>
      <c r="X887" s="23"/>
      <c r="Y887" s="23"/>
      <c r="Z887" s="23"/>
      <c r="AA887" s="23"/>
      <c r="AB887" s="23"/>
      <c r="AC887" s="23"/>
    </row>
    <row r="888" spans="1:29" ht="12.3">
      <c r="A888" s="23"/>
      <c r="V888" s="23"/>
      <c r="W888" s="23"/>
      <c r="X888" s="23"/>
      <c r="Y888" s="23"/>
      <c r="Z888" s="23"/>
      <c r="AA888" s="23"/>
      <c r="AB888" s="23"/>
      <c r="AC888" s="23"/>
    </row>
    <row r="889" spans="1:29" ht="12.3">
      <c r="A889" s="23"/>
      <c r="V889" s="23"/>
      <c r="W889" s="23"/>
      <c r="X889" s="23"/>
      <c r="Y889" s="23"/>
      <c r="Z889" s="23"/>
      <c r="AA889" s="23"/>
      <c r="AB889" s="23"/>
      <c r="AC889" s="23"/>
    </row>
    <row r="890" spans="1:29" ht="12.3">
      <c r="A890" s="23"/>
      <c r="V890" s="23"/>
      <c r="W890" s="23"/>
      <c r="X890" s="23"/>
      <c r="Y890" s="23"/>
      <c r="Z890" s="23"/>
      <c r="AA890" s="23"/>
      <c r="AB890" s="23"/>
      <c r="AC890" s="23"/>
    </row>
    <row r="891" spans="1:29" ht="12.3">
      <c r="A891" s="23"/>
      <c r="V891" s="23"/>
      <c r="W891" s="23"/>
      <c r="X891" s="23"/>
      <c r="Y891" s="23"/>
      <c r="Z891" s="23"/>
      <c r="AA891" s="23"/>
      <c r="AB891" s="23"/>
      <c r="AC891" s="23"/>
    </row>
    <row r="892" spans="1:29" ht="12.3">
      <c r="A892" s="23"/>
      <c r="V892" s="23"/>
      <c r="W892" s="23"/>
      <c r="X892" s="23"/>
      <c r="Y892" s="23"/>
      <c r="Z892" s="23"/>
      <c r="AA892" s="23"/>
      <c r="AB892" s="23"/>
      <c r="AC892" s="23"/>
    </row>
    <row r="893" spans="1:29" ht="12.3">
      <c r="A893" s="23"/>
      <c r="V893" s="23"/>
      <c r="W893" s="23"/>
      <c r="X893" s="23"/>
      <c r="Y893" s="23"/>
      <c r="Z893" s="23"/>
      <c r="AA893" s="23"/>
      <c r="AB893" s="23"/>
      <c r="AC893" s="23"/>
    </row>
    <row r="894" spans="1:29" ht="12.3">
      <c r="A894" s="23"/>
      <c r="V894" s="23"/>
      <c r="W894" s="23"/>
      <c r="X894" s="23"/>
      <c r="Y894" s="23"/>
      <c r="Z894" s="23"/>
      <c r="AA894" s="23"/>
      <c r="AB894" s="23"/>
      <c r="AC894" s="23"/>
    </row>
    <row r="895" spans="1:29" ht="12.3">
      <c r="A895" s="23"/>
      <c r="V895" s="23"/>
      <c r="W895" s="23"/>
      <c r="X895" s="23"/>
      <c r="Y895" s="23"/>
      <c r="Z895" s="23"/>
      <c r="AA895" s="23"/>
      <c r="AB895" s="23"/>
      <c r="AC895" s="23"/>
    </row>
    <row r="896" spans="1:29" ht="12.3">
      <c r="A896" s="23"/>
      <c r="V896" s="23"/>
      <c r="W896" s="23"/>
      <c r="X896" s="23"/>
      <c r="Y896" s="23"/>
      <c r="Z896" s="23"/>
      <c r="AA896" s="23"/>
      <c r="AB896" s="23"/>
      <c r="AC896" s="23"/>
    </row>
    <row r="897" spans="1:29" ht="12.3">
      <c r="A897" s="23"/>
      <c r="V897" s="23"/>
      <c r="W897" s="23"/>
      <c r="X897" s="23"/>
      <c r="Y897" s="23"/>
      <c r="Z897" s="23"/>
      <c r="AA897" s="23"/>
      <c r="AB897" s="23"/>
      <c r="AC897" s="23"/>
    </row>
    <row r="898" spans="1:29" ht="12.3">
      <c r="A898" s="23"/>
      <c r="V898" s="23"/>
      <c r="W898" s="23"/>
      <c r="X898" s="23"/>
      <c r="Y898" s="23"/>
      <c r="Z898" s="23"/>
      <c r="AA898" s="23"/>
      <c r="AB898" s="23"/>
      <c r="AC898" s="23"/>
    </row>
    <row r="899" spans="1:29" ht="12.3">
      <c r="A899" s="23"/>
      <c r="V899" s="23"/>
      <c r="W899" s="23"/>
      <c r="X899" s="23"/>
      <c r="Y899" s="23"/>
      <c r="Z899" s="23"/>
      <c r="AA899" s="23"/>
      <c r="AB899" s="23"/>
      <c r="AC899" s="23"/>
    </row>
    <row r="900" spans="1:29" ht="12.3">
      <c r="A900" s="23"/>
      <c r="V900" s="23"/>
      <c r="W900" s="23"/>
      <c r="X900" s="23"/>
      <c r="Y900" s="23"/>
      <c r="Z900" s="23"/>
      <c r="AA900" s="23"/>
      <c r="AB900" s="23"/>
      <c r="AC900" s="23"/>
    </row>
    <row r="901" spans="1:29" ht="12.3">
      <c r="A901" s="23"/>
      <c r="V901" s="23"/>
      <c r="W901" s="23"/>
      <c r="X901" s="23"/>
      <c r="Y901" s="23"/>
      <c r="Z901" s="23"/>
      <c r="AA901" s="23"/>
      <c r="AB901" s="23"/>
      <c r="AC901" s="23"/>
    </row>
    <row r="902" spans="1:29" ht="12.3">
      <c r="A902" s="23"/>
      <c r="V902" s="23"/>
      <c r="W902" s="23"/>
      <c r="X902" s="23"/>
      <c r="Y902" s="23"/>
      <c r="Z902" s="23"/>
      <c r="AA902" s="23"/>
      <c r="AB902" s="23"/>
      <c r="AC902" s="23"/>
    </row>
    <row r="903" spans="1:29" ht="12.3">
      <c r="A903" s="23"/>
      <c r="V903" s="23"/>
      <c r="W903" s="23"/>
      <c r="X903" s="23"/>
      <c r="Y903" s="23"/>
      <c r="Z903" s="23"/>
      <c r="AA903" s="23"/>
      <c r="AB903" s="23"/>
      <c r="AC903" s="23"/>
    </row>
    <row r="904" spans="1:29" ht="12.3">
      <c r="A904" s="23"/>
      <c r="V904" s="23"/>
      <c r="W904" s="23"/>
      <c r="X904" s="23"/>
      <c r="Y904" s="23"/>
      <c r="Z904" s="23"/>
      <c r="AA904" s="23"/>
      <c r="AB904" s="23"/>
      <c r="AC904" s="23"/>
    </row>
    <row r="905" spans="1:29" ht="12.3">
      <c r="A905" s="23"/>
      <c r="V905" s="23"/>
      <c r="W905" s="23"/>
      <c r="X905" s="23"/>
      <c r="Y905" s="23"/>
      <c r="Z905" s="23"/>
      <c r="AA905" s="23"/>
      <c r="AB905" s="23"/>
      <c r="AC905" s="23"/>
    </row>
    <row r="906" spans="1:29" ht="12.3">
      <c r="A906" s="23"/>
      <c r="V906" s="23"/>
      <c r="W906" s="23"/>
      <c r="X906" s="23"/>
      <c r="Y906" s="23"/>
      <c r="Z906" s="23"/>
      <c r="AA906" s="23"/>
      <c r="AB906" s="23"/>
      <c r="AC906" s="23"/>
    </row>
    <row r="907" spans="1:29" ht="12.3">
      <c r="A907" s="23"/>
      <c r="V907" s="23"/>
      <c r="W907" s="23"/>
      <c r="X907" s="23"/>
      <c r="Y907" s="23"/>
      <c r="Z907" s="23"/>
      <c r="AA907" s="23"/>
      <c r="AB907" s="23"/>
      <c r="AC907" s="23"/>
    </row>
    <row r="908" spans="1:29" ht="12.3">
      <c r="A908" s="23"/>
      <c r="V908" s="23"/>
      <c r="W908" s="23"/>
      <c r="X908" s="23"/>
      <c r="Y908" s="23"/>
      <c r="Z908" s="23"/>
      <c r="AA908" s="23"/>
      <c r="AB908" s="23"/>
      <c r="AC908" s="23"/>
    </row>
    <row r="909" spans="1:29" ht="12.3">
      <c r="A909" s="23"/>
      <c r="V909" s="23"/>
      <c r="W909" s="23"/>
      <c r="X909" s="23"/>
      <c r="Y909" s="23"/>
      <c r="Z909" s="23"/>
      <c r="AA909" s="23"/>
      <c r="AB909" s="23"/>
      <c r="AC909" s="23"/>
    </row>
    <row r="910" spans="1:29" ht="12.3">
      <c r="A910" s="23"/>
      <c r="V910" s="23"/>
      <c r="W910" s="23"/>
      <c r="X910" s="23"/>
      <c r="Y910" s="23"/>
      <c r="Z910" s="23"/>
      <c r="AA910" s="23"/>
      <c r="AB910" s="23"/>
      <c r="AC910" s="23"/>
    </row>
    <row r="911" spans="1:29" ht="12.3">
      <c r="A911" s="23"/>
      <c r="V911" s="23"/>
      <c r="W911" s="23"/>
      <c r="X911" s="23"/>
      <c r="Y911" s="23"/>
      <c r="Z911" s="23"/>
      <c r="AA911" s="23"/>
      <c r="AB911" s="23"/>
      <c r="AC911" s="23"/>
    </row>
    <row r="912" spans="1:29" ht="12.3">
      <c r="A912" s="23"/>
      <c r="V912" s="23"/>
      <c r="W912" s="23"/>
      <c r="X912" s="23"/>
      <c r="Y912" s="23"/>
      <c r="Z912" s="23"/>
      <c r="AA912" s="23"/>
      <c r="AB912" s="23"/>
      <c r="AC912" s="23"/>
    </row>
    <row r="913" spans="1:29" ht="12.3">
      <c r="A913" s="23"/>
      <c r="V913" s="23"/>
      <c r="W913" s="23"/>
      <c r="X913" s="23"/>
      <c r="Y913" s="23"/>
      <c r="Z913" s="23"/>
      <c r="AA913" s="23"/>
      <c r="AB913" s="23"/>
      <c r="AC913" s="23"/>
    </row>
    <row r="914" spans="1:29" ht="12.3">
      <c r="A914" s="23"/>
      <c r="V914" s="23"/>
      <c r="W914" s="23"/>
      <c r="X914" s="23"/>
      <c r="Y914" s="23"/>
      <c r="Z914" s="23"/>
      <c r="AA914" s="23"/>
      <c r="AB914" s="23"/>
      <c r="AC914" s="23"/>
    </row>
    <row r="915" spans="1:29" ht="12.3">
      <c r="A915" s="23"/>
      <c r="V915" s="23"/>
      <c r="W915" s="23"/>
      <c r="X915" s="23"/>
      <c r="Y915" s="23"/>
      <c r="Z915" s="23"/>
      <c r="AA915" s="23"/>
      <c r="AB915" s="23"/>
      <c r="AC915" s="23"/>
    </row>
    <row r="916" spans="1:29" ht="12.3">
      <c r="A916" s="23"/>
      <c r="V916" s="23"/>
      <c r="W916" s="23"/>
      <c r="X916" s="23"/>
      <c r="Y916" s="23"/>
      <c r="Z916" s="23"/>
      <c r="AA916" s="23"/>
      <c r="AB916" s="23"/>
      <c r="AC916" s="23"/>
    </row>
    <row r="917" spans="1:29" ht="12.3">
      <c r="A917" s="23"/>
      <c r="V917" s="23"/>
      <c r="W917" s="23"/>
      <c r="X917" s="23"/>
      <c r="Y917" s="23"/>
      <c r="Z917" s="23"/>
      <c r="AA917" s="23"/>
      <c r="AB917" s="23"/>
      <c r="AC917" s="23"/>
    </row>
    <row r="918" spans="1:29" ht="12.3">
      <c r="A918" s="23"/>
      <c r="V918" s="23"/>
      <c r="W918" s="23"/>
      <c r="X918" s="23"/>
      <c r="Y918" s="23"/>
      <c r="Z918" s="23"/>
      <c r="AA918" s="23"/>
      <c r="AB918" s="23"/>
      <c r="AC918" s="23"/>
    </row>
    <row r="919" spans="1:29" ht="12.3">
      <c r="A919" s="23"/>
      <c r="V919" s="23"/>
      <c r="W919" s="23"/>
      <c r="X919" s="23"/>
      <c r="Y919" s="23"/>
      <c r="Z919" s="23"/>
      <c r="AA919" s="23"/>
      <c r="AB919" s="23"/>
      <c r="AC919" s="23"/>
    </row>
    <row r="920" spans="1:29" ht="12.3">
      <c r="A920" s="23"/>
      <c r="V920" s="23"/>
      <c r="W920" s="23"/>
      <c r="X920" s="23"/>
      <c r="Y920" s="23"/>
      <c r="Z920" s="23"/>
      <c r="AA920" s="23"/>
      <c r="AB920" s="23"/>
      <c r="AC920" s="23"/>
    </row>
    <row r="921" spans="1:29" ht="12.3">
      <c r="A921" s="23"/>
      <c r="V921" s="23"/>
      <c r="W921" s="23"/>
      <c r="X921" s="23"/>
      <c r="Y921" s="23"/>
      <c r="Z921" s="23"/>
      <c r="AA921" s="23"/>
      <c r="AB921" s="23"/>
      <c r="AC921" s="23"/>
    </row>
    <row r="922" spans="1:29" ht="12.3">
      <c r="A922" s="23"/>
      <c r="V922" s="23"/>
      <c r="W922" s="23"/>
      <c r="X922" s="23"/>
      <c r="Y922" s="23"/>
      <c r="Z922" s="23"/>
      <c r="AA922" s="23"/>
      <c r="AB922" s="23"/>
      <c r="AC922" s="23"/>
    </row>
    <row r="923" spans="1:29" ht="12.3">
      <c r="A923" s="23"/>
      <c r="V923" s="23"/>
      <c r="W923" s="23"/>
      <c r="X923" s="23"/>
      <c r="Y923" s="23"/>
      <c r="Z923" s="23"/>
      <c r="AA923" s="23"/>
      <c r="AB923" s="23"/>
      <c r="AC923" s="23"/>
    </row>
    <row r="924" spans="1:29" ht="12.3">
      <c r="A924" s="23"/>
      <c r="V924" s="23"/>
      <c r="W924" s="23"/>
      <c r="X924" s="23"/>
      <c r="Y924" s="23"/>
      <c r="Z924" s="23"/>
      <c r="AA924" s="23"/>
      <c r="AB924" s="23"/>
      <c r="AC924" s="23"/>
    </row>
    <row r="925" spans="1:29" ht="12.3">
      <c r="A925" s="23"/>
      <c r="V925" s="23"/>
      <c r="W925" s="23"/>
      <c r="X925" s="23"/>
      <c r="Y925" s="23"/>
      <c r="Z925" s="23"/>
      <c r="AA925" s="23"/>
      <c r="AB925" s="23"/>
      <c r="AC925" s="23"/>
    </row>
    <row r="926" spans="1:29" ht="12.3">
      <c r="A926" s="23"/>
      <c r="V926" s="23"/>
      <c r="W926" s="23"/>
      <c r="X926" s="23"/>
      <c r="Y926" s="23"/>
      <c r="Z926" s="23"/>
      <c r="AA926" s="23"/>
      <c r="AB926" s="23"/>
      <c r="AC926" s="23"/>
    </row>
    <row r="927" spans="1:29" ht="12.3">
      <c r="A927" s="23"/>
      <c r="V927" s="23"/>
      <c r="W927" s="23"/>
      <c r="X927" s="23"/>
      <c r="Y927" s="23"/>
      <c r="Z927" s="23"/>
      <c r="AA927" s="23"/>
      <c r="AB927" s="23"/>
      <c r="AC927" s="23"/>
    </row>
    <row r="928" spans="1:29" ht="12.3">
      <c r="A928" s="23"/>
      <c r="V928" s="23"/>
      <c r="W928" s="23"/>
      <c r="X928" s="23"/>
      <c r="Y928" s="23"/>
      <c r="Z928" s="23"/>
      <c r="AA928" s="23"/>
      <c r="AB928" s="23"/>
      <c r="AC928" s="23"/>
    </row>
    <row r="929" spans="1:29" ht="12.3">
      <c r="A929" s="23"/>
      <c r="V929" s="23"/>
      <c r="W929" s="23"/>
      <c r="X929" s="23"/>
      <c r="Y929" s="23"/>
      <c r="Z929" s="23"/>
      <c r="AA929" s="23"/>
      <c r="AB929" s="23"/>
      <c r="AC929" s="23"/>
    </row>
    <row r="930" spans="1:29" ht="12.3">
      <c r="A930" s="23"/>
      <c r="V930" s="23"/>
      <c r="W930" s="23"/>
      <c r="X930" s="23"/>
      <c r="Y930" s="23"/>
      <c r="Z930" s="23"/>
      <c r="AA930" s="23"/>
      <c r="AB930" s="23"/>
      <c r="AC930" s="23"/>
    </row>
    <row r="931" spans="1:29" ht="12.3">
      <c r="A931" s="23"/>
      <c r="V931" s="23"/>
      <c r="W931" s="23"/>
      <c r="X931" s="23"/>
      <c r="Y931" s="23"/>
      <c r="Z931" s="23"/>
      <c r="AA931" s="23"/>
      <c r="AB931" s="23"/>
      <c r="AC931" s="23"/>
    </row>
    <row r="932" spans="1:29" ht="12.3">
      <c r="A932" s="23"/>
      <c r="V932" s="23"/>
      <c r="W932" s="23"/>
      <c r="X932" s="23"/>
      <c r="Y932" s="23"/>
      <c r="Z932" s="23"/>
      <c r="AA932" s="23"/>
      <c r="AB932" s="23"/>
      <c r="AC932" s="23"/>
    </row>
    <row r="933" spans="1:29" ht="12.3">
      <c r="A933" s="23"/>
      <c r="V933" s="23"/>
      <c r="W933" s="23"/>
      <c r="X933" s="23"/>
      <c r="Y933" s="23"/>
      <c r="Z933" s="23"/>
      <c r="AA933" s="23"/>
      <c r="AB933" s="23"/>
      <c r="AC933" s="23"/>
    </row>
    <row r="934" spans="1:29" ht="12.3">
      <c r="A934" s="23"/>
      <c r="V934" s="23"/>
      <c r="W934" s="23"/>
      <c r="X934" s="23"/>
      <c r="Y934" s="23"/>
      <c r="Z934" s="23"/>
      <c r="AA934" s="23"/>
      <c r="AB934" s="23"/>
      <c r="AC934" s="23"/>
    </row>
    <row r="935" spans="1:29" ht="12.3">
      <c r="A935" s="23"/>
      <c r="V935" s="23"/>
      <c r="W935" s="23"/>
      <c r="X935" s="23"/>
      <c r="Y935" s="23"/>
      <c r="Z935" s="23"/>
      <c r="AA935" s="23"/>
      <c r="AB935" s="23"/>
      <c r="AC935" s="23"/>
    </row>
    <row r="936" spans="1:29" ht="12.3">
      <c r="A936" s="23"/>
      <c r="V936" s="23"/>
      <c r="W936" s="23"/>
      <c r="X936" s="23"/>
      <c r="Y936" s="23"/>
      <c r="Z936" s="23"/>
      <c r="AA936" s="23"/>
      <c r="AB936" s="23"/>
      <c r="AC936" s="23"/>
    </row>
    <row r="937" spans="1:29" ht="12.3">
      <c r="A937" s="23"/>
      <c r="V937" s="23"/>
      <c r="W937" s="23"/>
      <c r="X937" s="23"/>
      <c r="Y937" s="23"/>
      <c r="Z937" s="23"/>
      <c r="AA937" s="23"/>
      <c r="AB937" s="23"/>
      <c r="AC937" s="23"/>
    </row>
    <row r="938" spans="1:29" ht="12.3">
      <c r="A938" s="23"/>
      <c r="V938" s="23"/>
      <c r="W938" s="23"/>
      <c r="X938" s="23"/>
      <c r="Y938" s="23"/>
      <c r="Z938" s="23"/>
      <c r="AA938" s="23"/>
      <c r="AB938" s="23"/>
      <c r="AC938" s="23"/>
    </row>
    <row r="939" spans="1:29" ht="12.3">
      <c r="A939" s="23"/>
      <c r="V939" s="23"/>
      <c r="W939" s="23"/>
      <c r="X939" s="23"/>
      <c r="Y939" s="23"/>
      <c r="Z939" s="23"/>
      <c r="AA939" s="23"/>
      <c r="AB939" s="23"/>
      <c r="AC939" s="23"/>
    </row>
    <row r="940" spans="1:29" ht="12.3">
      <c r="A940" s="23"/>
      <c r="V940" s="23"/>
      <c r="W940" s="23"/>
      <c r="X940" s="23"/>
      <c r="Y940" s="23"/>
      <c r="Z940" s="23"/>
      <c r="AA940" s="23"/>
      <c r="AB940" s="23"/>
      <c r="AC940" s="23"/>
    </row>
    <row r="941" spans="1:29" ht="12.3">
      <c r="A941" s="23"/>
      <c r="V941" s="23"/>
      <c r="W941" s="23"/>
      <c r="X941" s="23"/>
      <c r="Y941" s="23"/>
      <c r="Z941" s="23"/>
      <c r="AA941" s="23"/>
      <c r="AB941" s="23"/>
      <c r="AC941" s="23"/>
    </row>
    <row r="942" spans="1:29" ht="12.3">
      <c r="A942" s="23"/>
      <c r="V942" s="23"/>
      <c r="W942" s="23"/>
      <c r="X942" s="23"/>
      <c r="Y942" s="23"/>
      <c r="Z942" s="23"/>
      <c r="AA942" s="23"/>
      <c r="AB942" s="23"/>
      <c r="AC942" s="23"/>
    </row>
    <row r="943" spans="1:29" ht="12.3">
      <c r="A943" s="23"/>
      <c r="V943" s="23"/>
      <c r="W943" s="23"/>
      <c r="X943" s="23"/>
      <c r="Y943" s="23"/>
      <c r="Z943" s="23"/>
      <c r="AA943" s="23"/>
      <c r="AB943" s="23"/>
      <c r="AC943" s="23"/>
    </row>
    <row r="944" spans="1:29" ht="12.3">
      <c r="A944" s="23"/>
      <c r="V944" s="23"/>
      <c r="W944" s="23"/>
      <c r="X944" s="23"/>
      <c r="Y944" s="23"/>
      <c r="Z944" s="23"/>
      <c r="AA944" s="23"/>
      <c r="AB944" s="23"/>
      <c r="AC944" s="23"/>
    </row>
    <row r="945" spans="1:29" ht="12.3">
      <c r="A945" s="23"/>
      <c r="V945" s="23"/>
      <c r="W945" s="23"/>
      <c r="X945" s="23"/>
      <c r="Y945" s="23"/>
      <c r="Z945" s="23"/>
      <c r="AA945" s="23"/>
      <c r="AB945" s="23"/>
      <c r="AC945" s="23"/>
    </row>
    <row r="946" spans="1:29" ht="12.3">
      <c r="A946" s="23"/>
      <c r="V946" s="23"/>
      <c r="W946" s="23"/>
      <c r="X946" s="23"/>
      <c r="Y946" s="23"/>
      <c r="Z946" s="23"/>
      <c r="AA946" s="23"/>
      <c r="AB946" s="23"/>
      <c r="AC946" s="23"/>
    </row>
    <row r="947" spans="1:29" ht="12.3">
      <c r="A947" s="23"/>
      <c r="V947" s="23"/>
      <c r="W947" s="23"/>
      <c r="X947" s="23"/>
      <c r="Y947" s="23"/>
      <c r="Z947" s="23"/>
      <c r="AA947" s="23"/>
      <c r="AB947" s="23"/>
      <c r="AC947" s="23"/>
    </row>
    <row r="948" spans="1:29" ht="12.3">
      <c r="A948" s="23"/>
      <c r="V948" s="23"/>
      <c r="W948" s="23"/>
      <c r="X948" s="23"/>
      <c r="Y948" s="23"/>
      <c r="Z948" s="23"/>
      <c r="AA948" s="23"/>
      <c r="AB948" s="23"/>
      <c r="AC948" s="23"/>
    </row>
    <row r="949" spans="1:29" ht="12.3">
      <c r="A949" s="23"/>
      <c r="V949" s="23"/>
      <c r="W949" s="23"/>
      <c r="X949" s="23"/>
      <c r="Y949" s="23"/>
      <c r="Z949" s="23"/>
      <c r="AA949" s="23"/>
      <c r="AB949" s="23"/>
      <c r="AC949" s="23"/>
    </row>
    <row r="950" spans="1:29" ht="12.3">
      <c r="A950" s="23"/>
      <c r="V950" s="23"/>
      <c r="W950" s="23"/>
      <c r="X950" s="23"/>
      <c r="Y950" s="23"/>
      <c r="Z950" s="23"/>
      <c r="AA950" s="23"/>
      <c r="AB950" s="23"/>
      <c r="AC950" s="23"/>
    </row>
    <row r="951" spans="1:29" ht="12.3">
      <c r="A951" s="23"/>
      <c r="V951" s="23"/>
      <c r="W951" s="23"/>
      <c r="X951" s="23"/>
      <c r="Y951" s="23"/>
      <c r="Z951" s="23"/>
      <c r="AA951" s="23"/>
      <c r="AB951" s="23"/>
      <c r="AC951" s="23"/>
    </row>
    <row r="952" spans="1:29" ht="12.3">
      <c r="A952" s="23"/>
      <c r="V952" s="23"/>
      <c r="W952" s="23"/>
      <c r="X952" s="23"/>
      <c r="Y952" s="23"/>
      <c r="Z952" s="23"/>
      <c r="AA952" s="23"/>
      <c r="AB952" s="23"/>
      <c r="AC952" s="23"/>
    </row>
    <row r="953" spans="1:29" ht="12.3">
      <c r="A953" s="23"/>
      <c r="V953" s="23"/>
      <c r="W953" s="23"/>
      <c r="X953" s="23"/>
      <c r="Y953" s="23"/>
      <c r="Z953" s="23"/>
      <c r="AA953" s="23"/>
      <c r="AB953" s="23"/>
      <c r="AC953" s="23"/>
    </row>
    <row r="954" spans="1:29" ht="12.3">
      <c r="A954" s="23"/>
      <c r="V954" s="23"/>
      <c r="W954" s="23"/>
      <c r="X954" s="23"/>
      <c r="Y954" s="23"/>
      <c r="Z954" s="23"/>
      <c r="AA954" s="23"/>
      <c r="AB954" s="23"/>
      <c r="AC954" s="23"/>
    </row>
    <row r="955" spans="1:29" ht="12.3">
      <c r="A955" s="23"/>
      <c r="V955" s="23"/>
      <c r="W955" s="23"/>
      <c r="X955" s="23"/>
      <c r="Y955" s="23"/>
      <c r="Z955" s="23"/>
      <c r="AA955" s="23"/>
      <c r="AB955" s="23"/>
      <c r="AC955" s="23"/>
    </row>
    <row r="956" spans="1:29" ht="12.3">
      <c r="A956" s="23"/>
      <c r="V956" s="23"/>
      <c r="W956" s="23"/>
      <c r="X956" s="23"/>
      <c r="Y956" s="23"/>
      <c r="Z956" s="23"/>
      <c r="AA956" s="23"/>
      <c r="AB956" s="23"/>
      <c r="AC956" s="23"/>
    </row>
    <row r="957" spans="1:29" ht="12.3">
      <c r="A957" s="23"/>
      <c r="V957" s="23"/>
      <c r="W957" s="23"/>
      <c r="X957" s="23"/>
      <c r="Y957" s="23"/>
      <c r="Z957" s="23"/>
      <c r="AA957" s="23"/>
      <c r="AB957" s="23"/>
      <c r="AC957" s="23"/>
    </row>
    <row r="958" spans="1:29" ht="12.3">
      <c r="A958" s="23"/>
      <c r="V958" s="23"/>
      <c r="W958" s="23"/>
      <c r="X958" s="23"/>
      <c r="Y958" s="23"/>
      <c r="Z958" s="23"/>
      <c r="AA958" s="23"/>
      <c r="AB958" s="23"/>
      <c r="AC958" s="23"/>
    </row>
    <row r="959" spans="1:29" ht="12.3">
      <c r="A959" s="23"/>
      <c r="V959" s="23"/>
      <c r="W959" s="23"/>
      <c r="X959" s="23"/>
      <c r="Y959" s="23"/>
      <c r="Z959" s="23"/>
      <c r="AA959" s="23"/>
      <c r="AB959" s="23"/>
      <c r="AC959" s="23"/>
    </row>
    <row r="960" spans="1:29" ht="12.3">
      <c r="A960" s="23"/>
      <c r="V960" s="23"/>
      <c r="W960" s="23"/>
      <c r="X960" s="23"/>
      <c r="Y960" s="23"/>
      <c r="Z960" s="23"/>
      <c r="AA960" s="23"/>
      <c r="AB960" s="23"/>
      <c r="AC960" s="23"/>
    </row>
    <row r="961" spans="1:29" ht="12.3">
      <c r="A961" s="23"/>
      <c r="V961" s="23"/>
      <c r="W961" s="23"/>
      <c r="X961" s="23"/>
      <c r="Y961" s="23"/>
      <c r="Z961" s="23"/>
      <c r="AA961" s="23"/>
      <c r="AB961" s="23"/>
      <c r="AC961" s="23"/>
    </row>
    <row r="962" spans="1:29" ht="12.3">
      <c r="A962" s="23"/>
      <c r="V962" s="23"/>
      <c r="W962" s="23"/>
      <c r="X962" s="23"/>
      <c r="Y962" s="23"/>
      <c r="Z962" s="23"/>
      <c r="AA962" s="23"/>
      <c r="AB962" s="23"/>
      <c r="AC962" s="23"/>
    </row>
    <row r="963" spans="1:29" ht="12.3">
      <c r="A963" s="23"/>
      <c r="V963" s="23"/>
      <c r="W963" s="23"/>
      <c r="X963" s="23"/>
      <c r="Y963" s="23"/>
      <c r="Z963" s="23"/>
      <c r="AA963" s="23"/>
      <c r="AB963" s="23"/>
      <c r="AC963" s="23"/>
    </row>
    <row r="964" spans="1:29" ht="12.3">
      <c r="A964" s="23"/>
      <c r="V964" s="23"/>
      <c r="W964" s="23"/>
      <c r="X964" s="23"/>
      <c r="Y964" s="23"/>
      <c r="Z964" s="23"/>
      <c r="AA964" s="23"/>
      <c r="AB964" s="23"/>
      <c r="AC964" s="23"/>
    </row>
    <row r="965" spans="1:29" ht="12.3">
      <c r="A965" s="23"/>
      <c r="V965" s="23"/>
      <c r="W965" s="23"/>
      <c r="X965" s="23"/>
      <c r="Y965" s="23"/>
      <c r="Z965" s="23"/>
      <c r="AA965" s="23"/>
      <c r="AB965" s="23"/>
      <c r="AC965" s="23"/>
    </row>
    <row r="966" spans="1:29" ht="12.3">
      <c r="A966" s="23"/>
      <c r="V966" s="23"/>
      <c r="W966" s="23"/>
      <c r="X966" s="23"/>
      <c r="Y966" s="23"/>
      <c r="Z966" s="23"/>
      <c r="AA966" s="23"/>
      <c r="AB966" s="23"/>
      <c r="AC966" s="23"/>
    </row>
    <row r="967" spans="1:29" ht="12.3">
      <c r="A967" s="23"/>
      <c r="V967" s="23"/>
      <c r="W967" s="23"/>
      <c r="X967" s="23"/>
      <c r="Y967" s="23"/>
      <c r="Z967" s="23"/>
      <c r="AA967" s="23"/>
      <c r="AB967" s="23"/>
      <c r="AC967" s="23"/>
    </row>
    <row r="968" spans="1:29" ht="12.3">
      <c r="A968" s="23"/>
      <c r="V968" s="23"/>
      <c r="W968" s="23"/>
      <c r="X968" s="23"/>
      <c r="Y968" s="23"/>
      <c r="Z968" s="23"/>
      <c r="AA968" s="23"/>
      <c r="AB968" s="23"/>
      <c r="AC968" s="23"/>
    </row>
    <row r="969" spans="1:29" ht="12.3">
      <c r="A969" s="23"/>
      <c r="V969" s="23"/>
      <c r="W969" s="23"/>
      <c r="X969" s="23"/>
      <c r="Y969" s="23"/>
      <c r="Z969" s="23"/>
      <c r="AA969" s="23"/>
      <c r="AB969" s="23"/>
      <c r="AC969" s="23"/>
    </row>
    <row r="970" spans="1:29" ht="12.3">
      <c r="A970" s="23"/>
      <c r="V970" s="23"/>
      <c r="W970" s="23"/>
      <c r="X970" s="23"/>
      <c r="Y970" s="23"/>
      <c r="Z970" s="23"/>
      <c r="AA970" s="23"/>
      <c r="AB970" s="23"/>
      <c r="AC970" s="23"/>
    </row>
    <row r="971" spans="1:29" ht="12.3">
      <c r="A971" s="23"/>
      <c r="V971" s="23"/>
      <c r="W971" s="23"/>
      <c r="X971" s="23"/>
      <c r="Y971" s="23"/>
      <c r="Z971" s="23"/>
      <c r="AA971" s="23"/>
      <c r="AB971" s="23"/>
      <c r="AC971" s="23"/>
    </row>
    <row r="972" spans="1:29" ht="12.3">
      <c r="A972" s="23"/>
      <c r="V972" s="23"/>
      <c r="W972" s="23"/>
      <c r="X972" s="23"/>
      <c r="Y972" s="23"/>
      <c r="Z972" s="23"/>
      <c r="AA972" s="23"/>
      <c r="AB972" s="23"/>
      <c r="AC972" s="23"/>
    </row>
    <row r="973" spans="1:29" ht="12.3">
      <c r="A973" s="23"/>
      <c r="V973" s="23"/>
      <c r="W973" s="23"/>
      <c r="X973" s="23"/>
      <c r="Y973" s="23"/>
      <c r="Z973" s="23"/>
      <c r="AA973" s="23"/>
      <c r="AB973" s="23"/>
      <c r="AC973" s="23"/>
    </row>
    <row r="974" spans="1:29" ht="12.3">
      <c r="A974" s="23"/>
      <c r="V974" s="23"/>
      <c r="W974" s="23"/>
      <c r="X974" s="23"/>
      <c r="Y974" s="23"/>
      <c r="Z974" s="23"/>
      <c r="AA974" s="23"/>
      <c r="AB974" s="23"/>
      <c r="AC974" s="23"/>
    </row>
    <row r="975" spans="1:29" ht="12.3">
      <c r="A975" s="23"/>
      <c r="V975" s="23"/>
      <c r="W975" s="23"/>
      <c r="X975" s="23"/>
      <c r="Y975" s="23"/>
      <c r="Z975" s="23"/>
      <c r="AA975" s="23"/>
      <c r="AB975" s="23"/>
      <c r="AC975" s="23"/>
    </row>
    <row r="976" spans="1:29" ht="12.3">
      <c r="A976" s="23"/>
      <c r="V976" s="23"/>
      <c r="W976" s="23"/>
      <c r="X976" s="23"/>
      <c r="Y976" s="23"/>
      <c r="Z976" s="23"/>
      <c r="AA976" s="23"/>
      <c r="AB976" s="23"/>
      <c r="AC976" s="23"/>
    </row>
    <row r="977" spans="1:29" ht="12.3">
      <c r="A977" s="23"/>
      <c r="V977" s="23"/>
      <c r="W977" s="23"/>
      <c r="X977" s="23"/>
      <c r="Y977" s="23"/>
      <c r="Z977" s="23"/>
      <c r="AA977" s="23"/>
      <c r="AB977" s="23"/>
      <c r="AC977" s="23"/>
    </row>
    <row r="978" spans="1:29" ht="12.3">
      <c r="A978" s="23"/>
      <c r="V978" s="23"/>
      <c r="W978" s="23"/>
      <c r="X978" s="23"/>
      <c r="Y978" s="23"/>
      <c r="Z978" s="23"/>
      <c r="AA978" s="23"/>
      <c r="AB978" s="23"/>
      <c r="AC978" s="23"/>
    </row>
    <row r="979" spans="1:29" ht="12.3">
      <c r="A979" s="23"/>
      <c r="V979" s="23"/>
      <c r="W979" s="23"/>
      <c r="X979" s="23"/>
      <c r="Y979" s="23"/>
      <c r="Z979" s="23"/>
      <c r="AA979" s="23"/>
      <c r="AB979" s="23"/>
      <c r="AC979" s="23"/>
    </row>
    <row r="980" spans="1:29" ht="12.3">
      <c r="A980" s="23"/>
      <c r="V980" s="23"/>
      <c r="W980" s="23"/>
      <c r="X980" s="23"/>
      <c r="Y980" s="23"/>
      <c r="Z980" s="23"/>
      <c r="AA980" s="23"/>
      <c r="AB980" s="23"/>
      <c r="AC980" s="23"/>
    </row>
    <row r="981" spans="1:29" ht="12.3">
      <c r="A981" s="23"/>
      <c r="V981" s="23"/>
      <c r="W981" s="23"/>
      <c r="X981" s="23"/>
      <c r="Y981" s="23"/>
      <c r="Z981" s="23"/>
      <c r="AA981" s="23"/>
      <c r="AB981" s="23"/>
      <c r="AC981" s="23"/>
    </row>
    <row r="982" spans="1:29" ht="12.3">
      <c r="A982" s="23"/>
      <c r="V982" s="23"/>
      <c r="W982" s="23"/>
      <c r="X982" s="23"/>
      <c r="Y982" s="23"/>
      <c r="Z982" s="23"/>
      <c r="AA982" s="23"/>
      <c r="AB982" s="23"/>
      <c r="AC982" s="23"/>
    </row>
    <row r="983" spans="1:29" ht="12.3">
      <c r="A983" s="23"/>
      <c r="V983" s="23"/>
      <c r="W983" s="23"/>
      <c r="X983" s="23"/>
      <c r="Y983" s="23"/>
      <c r="Z983" s="23"/>
      <c r="AA983" s="23"/>
      <c r="AB983" s="23"/>
      <c r="AC983" s="23"/>
    </row>
    <row r="984" spans="1:29" ht="12.3">
      <c r="A984" s="23"/>
      <c r="V984" s="23"/>
      <c r="W984" s="23"/>
      <c r="X984" s="23"/>
      <c r="Y984" s="23"/>
      <c r="Z984" s="23"/>
      <c r="AA984" s="23"/>
      <c r="AB984" s="23"/>
      <c r="AC984" s="23"/>
    </row>
    <row r="985" spans="1:29" ht="12.3">
      <c r="A985" s="23"/>
      <c r="V985" s="23"/>
      <c r="W985" s="23"/>
      <c r="X985" s="23"/>
      <c r="Y985" s="23"/>
      <c r="Z985" s="23"/>
      <c r="AA985" s="23"/>
      <c r="AB985" s="23"/>
      <c r="AC985" s="23"/>
    </row>
    <row r="986" spans="1:29" ht="12.3">
      <c r="A986" s="23"/>
      <c r="V986" s="23"/>
      <c r="W986" s="23"/>
      <c r="X986" s="23"/>
      <c r="Y986" s="23"/>
      <c r="Z986" s="23"/>
      <c r="AA986" s="23"/>
      <c r="AB986" s="23"/>
      <c r="AC986" s="23"/>
    </row>
    <row r="987" spans="1:29" ht="12.3">
      <c r="A987" s="23"/>
      <c r="V987" s="23"/>
      <c r="W987" s="23"/>
      <c r="X987" s="23"/>
      <c r="Y987" s="23"/>
      <c r="Z987" s="23"/>
      <c r="AA987" s="23"/>
      <c r="AB987" s="23"/>
      <c r="AC987" s="23"/>
    </row>
    <row r="988" spans="1:29" ht="12.3">
      <c r="A988" s="23"/>
      <c r="V988" s="23"/>
      <c r="W988" s="23"/>
      <c r="X988" s="23"/>
      <c r="Y988" s="23"/>
      <c r="Z988" s="23"/>
      <c r="AA988" s="23"/>
      <c r="AB988" s="23"/>
      <c r="AC988" s="23"/>
    </row>
    <row r="989" spans="1:29" ht="12.3">
      <c r="A989" s="23"/>
      <c r="V989" s="23"/>
      <c r="W989" s="23"/>
      <c r="X989" s="23"/>
      <c r="Y989" s="23"/>
      <c r="Z989" s="23"/>
      <c r="AA989" s="23"/>
      <c r="AB989" s="23"/>
      <c r="AC989" s="23"/>
    </row>
    <row r="990" spans="1:29" ht="12.3">
      <c r="A990" s="23"/>
      <c r="V990" s="23"/>
      <c r="W990" s="23"/>
      <c r="X990" s="23"/>
      <c r="Y990" s="23"/>
      <c r="Z990" s="23"/>
      <c r="AA990" s="23"/>
      <c r="AB990" s="23"/>
      <c r="AC990" s="23"/>
    </row>
    <row r="991" spans="1:29" ht="12.3">
      <c r="A991" s="23"/>
      <c r="V991" s="23"/>
      <c r="W991" s="23"/>
      <c r="X991" s="23"/>
      <c r="Y991" s="23"/>
      <c r="Z991" s="23"/>
      <c r="AA991" s="23"/>
      <c r="AB991" s="23"/>
      <c r="AC991" s="23"/>
    </row>
  </sheetData>
  <sheetProtection algorithmName="SHA-512" hashValue="RKiY3TyS76QPEE8/zQi8inWiviEsnktY30v3y+6h9R2ZPGhbpUHu12ou3elk2QjYHAZMNTibMhkLFpBX6lsJBg==" saltValue="JvzOOhys11FoOGKM+LwLEA==" spinCount="100000" sheet="1" objects="1" scenarios="1"/>
  <mergeCells count="3">
    <mergeCell ref="B36:N39"/>
    <mergeCell ref="C12:D17"/>
    <mergeCell ref="I3:O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249977111117893"/>
    <outlinePr summaryBelow="0" summaryRight="0"/>
  </sheetPr>
  <dimension ref="A2:AA54"/>
  <sheetViews>
    <sheetView showGridLines="0" topLeftCell="B13" workbookViewId="0">
      <selection activeCell="C37" sqref="C37"/>
    </sheetView>
  </sheetViews>
  <sheetFormatPr defaultColWidth="17.27734375" defaultRowHeight="15" customHeight="1"/>
  <cols>
    <col min="1" max="1" width="4.83203125" customWidth="1"/>
    <col min="2" max="2" width="25.609375" style="279" customWidth="1"/>
    <col min="3" max="3" width="16.83203125" style="279" customWidth="1"/>
    <col min="4" max="4" width="15.27734375" style="279" customWidth="1"/>
    <col min="5" max="5" width="14.5546875" style="279" customWidth="1"/>
    <col min="6" max="6" width="15.5546875" style="279" customWidth="1"/>
    <col min="7" max="7" width="16.5546875" style="279" customWidth="1"/>
    <col min="8" max="8" width="18.109375" style="279" customWidth="1"/>
    <col min="9" max="9" width="14.27734375" style="279" customWidth="1"/>
    <col min="10" max="10" width="14.109375" style="279" customWidth="1"/>
    <col min="11" max="11" width="1.94140625" style="279" customWidth="1"/>
    <col min="12" max="12" width="1.609375" style="279" customWidth="1"/>
    <col min="13" max="13" width="23.27734375" style="203" customWidth="1"/>
    <col min="14" max="17" width="17.27734375" style="203"/>
  </cols>
  <sheetData>
    <row r="2" spans="1:27" ht="17.7">
      <c r="B2" s="392" t="s">
        <v>91</v>
      </c>
    </row>
    <row r="3" spans="1:27" ht="17.399999999999999">
      <c r="A3" s="2"/>
      <c r="B3" s="393"/>
      <c r="C3" s="393"/>
      <c r="D3" s="393"/>
      <c r="E3" s="393"/>
      <c r="F3" s="393"/>
      <c r="G3" s="393"/>
      <c r="H3" s="393"/>
    </row>
    <row r="4" spans="1:27" ht="18.3" customHeight="1">
      <c r="A4" s="2"/>
      <c r="B4" s="394" t="s">
        <v>92</v>
      </c>
      <c r="C4" s="395"/>
      <c r="D4" s="395"/>
      <c r="E4" s="395"/>
      <c r="F4" s="395"/>
      <c r="G4" s="395"/>
      <c r="H4" s="395"/>
    </row>
    <row r="5" spans="1:27" ht="50.1" customHeight="1">
      <c r="A5" s="2"/>
      <c r="B5" s="1498" t="s">
        <v>93</v>
      </c>
      <c r="C5" s="1490"/>
      <c r="D5" s="1490"/>
      <c r="E5" s="1490"/>
      <c r="F5" s="1490"/>
      <c r="G5" s="1490"/>
      <c r="H5" s="1490"/>
    </row>
    <row r="6" spans="1:27">
      <c r="A6" s="1"/>
      <c r="B6" s="396"/>
      <c r="C6" s="397"/>
      <c r="D6" s="397"/>
      <c r="E6" s="397"/>
      <c r="F6" s="396"/>
      <c r="G6" s="398"/>
      <c r="H6" s="398"/>
      <c r="I6" s="398"/>
      <c r="J6" s="398"/>
      <c r="K6" s="398"/>
      <c r="L6" s="398"/>
      <c r="R6" s="1"/>
      <c r="S6" s="1"/>
      <c r="T6" s="1"/>
      <c r="U6" s="1"/>
      <c r="V6" s="1"/>
      <c r="W6" s="1"/>
      <c r="X6" s="1"/>
      <c r="Y6" s="1"/>
      <c r="Z6" s="1"/>
      <c r="AA6" s="1"/>
    </row>
    <row r="7" spans="1:27">
      <c r="A7" s="1"/>
      <c r="B7" s="396" t="s">
        <v>95</v>
      </c>
      <c r="C7" s="397"/>
      <c r="D7" s="397"/>
      <c r="E7" s="399"/>
      <c r="F7" s="1305" t="s">
        <v>903</v>
      </c>
      <c r="G7" s="398"/>
      <c r="H7" s="398"/>
      <c r="I7" s="398"/>
      <c r="J7" s="398"/>
      <c r="K7" s="398"/>
      <c r="L7" s="398"/>
      <c r="R7" s="1"/>
      <c r="S7" s="1"/>
      <c r="T7" s="1"/>
      <c r="U7" s="1"/>
      <c r="V7" s="1"/>
      <c r="W7" s="1"/>
      <c r="X7" s="1"/>
      <c r="Y7" s="1"/>
      <c r="Z7" s="1"/>
      <c r="AA7" s="1"/>
    </row>
    <row r="8" spans="1:27" ht="24.6">
      <c r="A8" s="1499"/>
      <c r="B8" s="401" t="s">
        <v>95</v>
      </c>
      <c r="C8" s="402" t="s">
        <v>97</v>
      </c>
      <c r="D8" s="403" t="s">
        <v>98</v>
      </c>
      <c r="E8" s="403" t="s">
        <v>99</v>
      </c>
      <c r="F8" s="1111">
        <v>1.25</v>
      </c>
      <c r="G8" s="1111">
        <v>1.75</v>
      </c>
      <c r="H8" s="1111">
        <v>2.25</v>
      </c>
      <c r="I8" s="1111">
        <v>3</v>
      </c>
      <c r="J8" s="398"/>
      <c r="K8" s="398"/>
      <c r="L8" s="398"/>
      <c r="R8" s="1"/>
      <c r="S8" s="1"/>
      <c r="T8" s="1"/>
      <c r="U8" s="1"/>
      <c r="V8" s="1"/>
      <c r="W8" s="1"/>
      <c r="X8" s="1"/>
      <c r="Y8" s="1"/>
      <c r="Z8" s="1"/>
      <c r="AA8" s="1"/>
    </row>
    <row r="9" spans="1:27" ht="12.3">
      <c r="A9" s="1500"/>
      <c r="B9" s="405">
        <f>52/C9</f>
        <v>13</v>
      </c>
      <c r="C9" s="406">
        <v>4</v>
      </c>
      <c r="D9" s="364">
        <f>'Plant &amp; Fish Production'!C9*'Plant &amp; Fish Production'!$C$16*(1-'Plant &amp; Fish Production'!$C$21)*$B9</f>
        <v>52416</v>
      </c>
      <c r="E9" s="364">
        <f>D9/52</f>
        <v>1008</v>
      </c>
      <c r="F9" s="316">
        <f>$D9*F$8</f>
        <v>65520</v>
      </c>
      <c r="G9" s="316">
        <f>$D$9*G8</f>
        <v>91728</v>
      </c>
      <c r="H9" s="316">
        <f>$D$9*H8</f>
        <v>117936</v>
      </c>
      <c r="I9" s="407">
        <f>$D$9*I8</f>
        <v>157248</v>
      </c>
      <c r="J9" s="398"/>
      <c r="K9" s="398"/>
      <c r="L9" s="398"/>
      <c r="R9" s="1"/>
      <c r="S9" s="1"/>
      <c r="T9" s="1"/>
      <c r="U9" s="1"/>
      <c r="V9" s="1"/>
      <c r="W9" s="1"/>
      <c r="X9" s="1"/>
      <c r="Y9" s="1"/>
      <c r="Z9" s="1"/>
      <c r="AA9" s="1"/>
    </row>
    <row r="10" spans="1:27" ht="12.3">
      <c r="A10" s="1500"/>
      <c r="B10" s="405">
        <f>52/C10</f>
        <v>11.555555555555555</v>
      </c>
      <c r="C10" s="406">
        <v>4.5</v>
      </c>
      <c r="D10" s="364">
        <f>'Plant &amp; Fish Production'!C9*'Plant &amp; Fish Production'!$C$16*(1-'Plant &amp; Fish Production'!$C$21)*$B10</f>
        <v>46592</v>
      </c>
      <c r="E10" s="364">
        <f>D10/52</f>
        <v>896</v>
      </c>
      <c r="F10" s="316">
        <f>$D10*F$8</f>
        <v>58240</v>
      </c>
      <c r="G10" s="316">
        <f t="shared" ref="G10:I12" si="0">$D10*G$8</f>
        <v>81536</v>
      </c>
      <c r="H10" s="407">
        <f t="shared" si="0"/>
        <v>104832</v>
      </c>
      <c r="I10" s="408">
        <f t="shared" si="0"/>
        <v>139776</v>
      </c>
      <c r="J10" s="398"/>
      <c r="K10" s="398"/>
      <c r="L10" s="398"/>
      <c r="R10" s="1"/>
      <c r="S10" s="1"/>
      <c r="T10" s="1"/>
      <c r="U10" s="1"/>
      <c r="V10" s="1"/>
      <c r="W10" s="1"/>
      <c r="X10" s="1"/>
      <c r="Y10" s="1"/>
      <c r="Z10" s="1"/>
      <c r="AA10" s="1"/>
    </row>
    <row r="11" spans="1:27" ht="12.3">
      <c r="A11" s="1500"/>
      <c r="B11" s="405">
        <f>52/C11</f>
        <v>10.4</v>
      </c>
      <c r="C11" s="406">
        <v>5</v>
      </c>
      <c r="D11" s="364">
        <f>'Plant &amp; Fish Production'!C9*'Plant &amp; Fish Production'!$C$16*(1-'Plant &amp; Fish Production'!$C$21)*$B11</f>
        <v>41932.800000000003</v>
      </c>
      <c r="E11" s="364">
        <f>D11/52</f>
        <v>806.40000000000009</v>
      </c>
      <c r="F11" s="316">
        <f>$D11*F$8</f>
        <v>52416</v>
      </c>
      <c r="G11" s="407">
        <f t="shared" si="0"/>
        <v>73382.400000000009</v>
      </c>
      <c r="H11" s="316">
        <f t="shared" si="0"/>
        <v>94348.800000000003</v>
      </c>
      <c r="I11" s="316">
        <f t="shared" si="0"/>
        <v>125798.40000000001</v>
      </c>
      <c r="J11" s="398"/>
      <c r="K11" s="398"/>
      <c r="L11" s="398"/>
      <c r="R11" s="1"/>
      <c r="S11" s="1"/>
      <c r="T11" s="1"/>
      <c r="U11" s="1"/>
      <c r="V11" s="1"/>
      <c r="W11" s="1"/>
      <c r="X11" s="1"/>
      <c r="Y11" s="1"/>
      <c r="Z11" s="1"/>
      <c r="AA11" s="1"/>
    </row>
    <row r="12" spans="1:27" ht="12.3">
      <c r="A12" s="1500"/>
      <c r="B12" s="405">
        <f>52/C12</f>
        <v>8.6666666666666661</v>
      </c>
      <c r="C12" s="406">
        <v>6</v>
      </c>
      <c r="D12" s="364">
        <f>'Plant &amp; Fish Production'!C9*'Plant &amp; Fish Production'!$C$16*(1-'Plant &amp; Fish Production'!$C$21)*$B12</f>
        <v>34944</v>
      </c>
      <c r="E12" s="364">
        <f>D12/52</f>
        <v>672</v>
      </c>
      <c r="F12" s="407">
        <f>$D12*F$8</f>
        <v>43680</v>
      </c>
      <c r="G12" s="316">
        <f t="shared" si="0"/>
        <v>61152</v>
      </c>
      <c r="H12" s="316">
        <f t="shared" si="0"/>
        <v>78624</v>
      </c>
      <c r="I12" s="316">
        <f t="shared" si="0"/>
        <v>104832</v>
      </c>
      <c r="J12" s="398"/>
      <c r="K12" s="398"/>
      <c r="L12" s="398"/>
      <c r="R12" s="1"/>
      <c r="S12" s="1"/>
      <c r="T12" s="1"/>
      <c r="U12" s="1"/>
      <c r="V12" s="1"/>
      <c r="W12" s="1"/>
      <c r="X12" s="1"/>
      <c r="Y12" s="1"/>
      <c r="Z12" s="1"/>
      <c r="AA12" s="1"/>
    </row>
    <row r="13" spans="1:27" ht="12.3">
      <c r="B13" s="397"/>
      <c r="C13" s="397"/>
      <c r="D13" s="397"/>
      <c r="E13" s="399"/>
      <c r="F13" s="397"/>
      <c r="G13" s="397"/>
      <c r="H13" s="397"/>
      <c r="I13" s="397"/>
    </row>
    <row r="14" spans="1:27">
      <c r="B14" s="400" t="s">
        <v>100</v>
      </c>
      <c r="C14" s="409"/>
      <c r="D14" s="397"/>
      <c r="E14" s="399"/>
      <c r="F14" s="400" t="s">
        <v>101</v>
      </c>
      <c r="G14" s="409"/>
      <c r="H14" s="397"/>
      <c r="I14" s="397"/>
    </row>
    <row r="15" spans="1:27" ht="12.3">
      <c r="B15" s="410" t="s">
        <v>102</v>
      </c>
      <c r="C15" s="410" t="s">
        <v>103</v>
      </c>
      <c r="D15" s="410" t="s">
        <v>104</v>
      </c>
      <c r="E15" s="410" t="s">
        <v>105</v>
      </c>
      <c r="F15" s="410" t="s">
        <v>106</v>
      </c>
      <c r="G15" s="410" t="s">
        <v>107</v>
      </c>
      <c r="H15" s="410" t="s">
        <v>108</v>
      </c>
      <c r="I15" s="410" t="s">
        <v>109</v>
      </c>
      <c r="J15" s="410" t="s">
        <v>110</v>
      </c>
    </row>
    <row r="16" spans="1:27" ht="12.3">
      <c r="B16" s="410" t="s">
        <v>112</v>
      </c>
      <c r="C16" s="410" t="s">
        <v>113</v>
      </c>
      <c r="D16" s="410" t="s">
        <v>114</v>
      </c>
      <c r="E16" s="410" t="s">
        <v>115</v>
      </c>
      <c r="F16" s="410" t="s">
        <v>116</v>
      </c>
      <c r="G16" s="410" t="s">
        <v>117</v>
      </c>
      <c r="H16" s="410" t="s">
        <v>118</v>
      </c>
      <c r="I16" s="410" t="s">
        <v>119</v>
      </c>
      <c r="J16" s="410" t="s">
        <v>120</v>
      </c>
    </row>
    <row r="17" spans="2:17" ht="12.3">
      <c r="B17" s="410" t="s">
        <v>122</v>
      </c>
      <c r="C17" s="410" t="s">
        <v>123</v>
      </c>
      <c r="D17" s="410" t="s">
        <v>124</v>
      </c>
      <c r="E17" s="410" t="s">
        <v>125</v>
      </c>
      <c r="F17" s="320"/>
      <c r="G17" s="320"/>
      <c r="H17" s="320"/>
      <c r="I17" s="410"/>
      <c r="J17" s="320"/>
    </row>
    <row r="18" spans="2:17" ht="12.3">
      <c r="E18" s="397"/>
      <c r="G18" s="397"/>
      <c r="H18" s="397"/>
      <c r="I18" s="397"/>
    </row>
    <row r="19" spans="2:17" ht="12.3">
      <c r="G19" s="411"/>
      <c r="H19" s="411"/>
    </row>
    <row r="20" spans="2:17">
      <c r="B20" s="412" t="s">
        <v>729</v>
      </c>
      <c r="C20" s="1501" t="s">
        <v>709</v>
      </c>
      <c r="D20" s="1502"/>
      <c r="E20" s="1502"/>
      <c r="F20" s="1502"/>
      <c r="G20" s="1502"/>
      <c r="H20" s="411"/>
    </row>
    <row r="21" spans="2:17" s="914" customFormat="1">
      <c r="B21" s="412"/>
      <c r="C21" s="1023" t="s">
        <v>781</v>
      </c>
      <c r="D21" s="915"/>
      <c r="E21" s="915"/>
      <c r="F21" s="915"/>
      <c r="G21" s="915"/>
      <c r="H21" s="411"/>
      <c r="I21" s="913"/>
      <c r="J21" s="913"/>
      <c r="K21" s="913"/>
      <c r="L21" s="913"/>
      <c r="M21" s="276"/>
      <c r="N21" s="276"/>
      <c r="O21" s="276"/>
      <c r="P21" s="276"/>
      <c r="Q21" s="276"/>
    </row>
    <row r="22" spans="2:17" s="914" customFormat="1">
      <c r="B22" s="412"/>
      <c r="C22" s="915"/>
      <c r="D22" s="915"/>
      <c r="E22" s="915"/>
      <c r="F22" s="915"/>
      <c r="G22" s="915"/>
      <c r="H22" s="411"/>
      <c r="I22" s="913"/>
      <c r="J22" s="913"/>
      <c r="K22" s="913"/>
      <c r="L22" s="913"/>
      <c r="M22" s="276"/>
      <c r="N22" s="276"/>
      <c r="O22" s="276"/>
      <c r="P22" s="276"/>
      <c r="Q22" s="276"/>
    </row>
    <row r="23" spans="2:17" ht="12.6" thickBot="1">
      <c r="C23" s="1031" t="s">
        <v>705</v>
      </c>
      <c r="D23" s="1031" t="s">
        <v>706</v>
      </c>
      <c r="E23" s="1031" t="s">
        <v>707</v>
      </c>
      <c r="F23" s="1031" t="s">
        <v>708</v>
      </c>
      <c r="G23" s="411"/>
      <c r="H23" s="411"/>
    </row>
    <row r="24" spans="2:17" ht="12.3">
      <c r="B24" s="1025" t="s">
        <v>94</v>
      </c>
      <c r="C24" s="1032">
        <v>2</v>
      </c>
      <c r="D24" s="1032">
        <v>2</v>
      </c>
      <c r="E24" s="1032">
        <v>2.5</v>
      </c>
      <c r="F24" s="1033">
        <v>3</v>
      </c>
      <c r="G24" s="411"/>
      <c r="H24" s="411"/>
    </row>
    <row r="25" spans="2:17" ht="12.3">
      <c r="B25" s="1024" t="s">
        <v>96</v>
      </c>
      <c r="C25" s="413">
        <f>'Summary Data'!I6</f>
        <v>19825.866666666665</v>
      </c>
      <c r="D25" s="413">
        <f>C25</f>
        <v>19825.866666666665</v>
      </c>
      <c r="E25" s="413">
        <f>D25</f>
        <v>19825.866666666665</v>
      </c>
      <c r="F25" s="1026">
        <f>E25</f>
        <v>19825.866666666665</v>
      </c>
      <c r="G25" s="411"/>
      <c r="H25" s="411"/>
    </row>
    <row r="26" spans="2:17" ht="12.3">
      <c r="B26" s="1027" t="s">
        <v>39</v>
      </c>
      <c r="C26" s="316">
        <f>C24*C25</f>
        <v>39651.73333333333</v>
      </c>
      <c r="D26" s="316">
        <f>D24*D25</f>
        <v>39651.73333333333</v>
      </c>
      <c r="E26" s="316">
        <f>E24*E25</f>
        <v>49564.666666666664</v>
      </c>
      <c r="F26" s="1028">
        <f>F24*F25</f>
        <v>59477.599999999991</v>
      </c>
      <c r="G26" s="411"/>
      <c r="H26" s="411"/>
    </row>
    <row r="27" spans="2:17" ht="12.3">
      <c r="B27" s="1030" t="str">
        <f>IF('Please Read First'!C11="metric", "Media Beds - $/kg", "Media Beds - $/lb")</f>
        <v>Media Beds - $/lb</v>
      </c>
      <c r="C27" s="1034">
        <v>1.5</v>
      </c>
      <c r="D27" s="1034">
        <v>2</v>
      </c>
      <c r="E27" s="1034">
        <v>2.5</v>
      </c>
      <c r="F27" s="1035">
        <v>3</v>
      </c>
      <c r="G27" s="411"/>
      <c r="H27" s="411"/>
    </row>
    <row r="28" spans="2:17" ht="12.3">
      <c r="B28" s="1024" t="str">
        <f>IF('Please Read First'!C11="metric", "Total Projected kg", "Total projected lbs")</f>
        <v>Total projected lbs</v>
      </c>
      <c r="C28" s="413">
        <f>'Plant &amp; Fish Production'!N61+'Plant &amp; Fish Production'!N79</f>
        <v>0</v>
      </c>
      <c r="D28" s="413">
        <f>C28</f>
        <v>0</v>
      </c>
      <c r="E28" s="413">
        <f>D28</f>
        <v>0</v>
      </c>
      <c r="F28" s="1026">
        <f>E28</f>
        <v>0</v>
      </c>
      <c r="G28" s="411"/>
      <c r="H28" s="411"/>
    </row>
    <row r="29" spans="2:17" ht="12.3">
      <c r="B29" s="1027" t="s">
        <v>39</v>
      </c>
      <c r="C29" s="316">
        <f>C27*C28</f>
        <v>0</v>
      </c>
      <c r="D29" s="316">
        <f>D27*D28</f>
        <v>0</v>
      </c>
      <c r="E29" s="316">
        <f>E27*E28</f>
        <v>0</v>
      </c>
      <c r="F29" s="1028">
        <f>F27*F28</f>
        <v>0</v>
      </c>
      <c r="G29" s="411"/>
      <c r="H29" s="411"/>
    </row>
    <row r="30" spans="2:17" ht="12.3">
      <c r="B30" s="1030" t="s">
        <v>111</v>
      </c>
      <c r="C30" s="1034">
        <v>18</v>
      </c>
      <c r="D30" s="1034">
        <v>22</v>
      </c>
      <c r="E30" s="1034">
        <v>26</v>
      </c>
      <c r="F30" s="1035">
        <v>30</v>
      </c>
      <c r="G30" s="411"/>
      <c r="H30" s="411"/>
    </row>
    <row r="31" spans="2:17" ht="15" customHeight="1">
      <c r="B31" s="1029" t="s">
        <v>121</v>
      </c>
      <c r="C31" s="413">
        <f>'Summary Data'!I8</f>
        <v>156</v>
      </c>
      <c r="D31" s="413">
        <f>C31</f>
        <v>156</v>
      </c>
      <c r="E31" s="413">
        <f>D31</f>
        <v>156</v>
      </c>
      <c r="F31" s="1026">
        <f>E31</f>
        <v>156</v>
      </c>
    </row>
    <row r="32" spans="2:17" ht="12.3">
      <c r="B32" s="1027" t="s">
        <v>39</v>
      </c>
      <c r="C32" s="316">
        <f>C30*C31</f>
        <v>2808</v>
      </c>
      <c r="D32" s="316">
        <f>D30*D31</f>
        <v>3432</v>
      </c>
      <c r="E32" s="316">
        <f>E30*E31</f>
        <v>4056</v>
      </c>
      <c r="F32" s="1028">
        <f>F30*F31</f>
        <v>4680</v>
      </c>
    </row>
    <row r="33" spans="2:17" ht="15" customHeight="1">
      <c r="B33" s="1030" t="str">
        <f>IF('Please Read First'!C11="metric", "Fish - $/kg", "Fish - $/lb")</f>
        <v>Fish - $/lb</v>
      </c>
      <c r="C33" s="1034">
        <v>3</v>
      </c>
      <c r="D33" s="1034">
        <v>4</v>
      </c>
      <c r="E33" s="1034">
        <v>5</v>
      </c>
      <c r="F33" s="1035">
        <v>6</v>
      </c>
    </row>
    <row r="34" spans="2:17" ht="15" customHeight="1">
      <c r="B34" s="1029" t="str">
        <f>IF('Please Read First'!C11="metric", "Projected annual kg", "Projected annual lbs")</f>
        <v>Projected annual lbs</v>
      </c>
      <c r="C34" s="413" t="str">
        <f>'Plant &amp; Fish Production'!C73</f>
        <v/>
      </c>
      <c r="D34" s="413" t="str">
        <f>C34</f>
        <v/>
      </c>
      <c r="E34" s="413" t="str">
        <f>D34</f>
        <v/>
      </c>
      <c r="F34" s="1026" t="str">
        <f>E34</f>
        <v/>
      </c>
    </row>
    <row r="35" spans="2:17" ht="15" customHeight="1">
      <c r="B35" s="1027" t="s">
        <v>39</v>
      </c>
      <c r="C35" s="316">
        <f>IFERROR(C33*C34, 0)</f>
        <v>0</v>
      </c>
      <c r="D35" s="316">
        <f t="shared" ref="D35:F35" si="1">IFERROR(D33*D34, 0)</f>
        <v>0</v>
      </c>
      <c r="E35" s="316">
        <f t="shared" si="1"/>
        <v>0</v>
      </c>
      <c r="F35" s="316">
        <f t="shared" si="1"/>
        <v>0</v>
      </c>
    </row>
    <row r="36" spans="2:17" ht="15" customHeight="1" thickBot="1">
      <c r="B36" s="1036" t="s">
        <v>126</v>
      </c>
      <c r="C36" s="1037">
        <f>C32+C29+C26+C35</f>
        <v>42459.73333333333</v>
      </c>
      <c r="D36" s="1037">
        <f t="shared" ref="D36:F36" si="2">D32+D29+D26+D35</f>
        <v>43083.73333333333</v>
      </c>
      <c r="E36" s="1037">
        <f t="shared" si="2"/>
        <v>53620.666666666664</v>
      </c>
      <c r="F36" s="1037">
        <f t="shared" si="2"/>
        <v>64157.599999999991</v>
      </c>
    </row>
    <row r="37" spans="2:17" s="914" customFormat="1" ht="15" customHeight="1">
      <c r="B37" s="1046" t="s">
        <v>782</v>
      </c>
      <c r="C37" s="1044">
        <f>'Pro Forma Income Statement'!F17</f>
        <v>509.6</v>
      </c>
      <c r="D37" s="1044">
        <f t="shared" ref="D37:F38" si="3">C37</f>
        <v>509.6</v>
      </c>
      <c r="E37" s="1044">
        <f t="shared" si="3"/>
        <v>509.6</v>
      </c>
      <c r="F37" s="1045">
        <f t="shared" si="3"/>
        <v>509.6</v>
      </c>
      <c r="G37" s="913"/>
      <c r="H37" s="913"/>
      <c r="I37" s="913"/>
      <c r="J37" s="913"/>
      <c r="K37" s="913"/>
      <c r="L37" s="913"/>
      <c r="M37" s="276"/>
      <c r="N37" s="276"/>
      <c r="O37" s="276"/>
      <c r="P37" s="276"/>
      <c r="Q37" s="276"/>
    </row>
    <row r="38" spans="2:17" s="914" customFormat="1" ht="15" customHeight="1">
      <c r="B38" s="1038" t="s">
        <v>783</v>
      </c>
      <c r="C38" s="1039">
        <f>'Pro Forma Income Statement'!F38</f>
        <v>44455.999999999993</v>
      </c>
      <c r="D38" s="1039">
        <f t="shared" si="3"/>
        <v>44455.999999999993</v>
      </c>
      <c r="E38" s="1039">
        <f t="shared" si="3"/>
        <v>44455.999999999993</v>
      </c>
      <c r="F38" s="1040">
        <f t="shared" si="3"/>
        <v>44455.999999999993</v>
      </c>
      <c r="G38" s="913"/>
      <c r="H38" s="913"/>
      <c r="I38" s="913"/>
      <c r="J38" s="913"/>
      <c r="K38" s="913"/>
      <c r="L38" s="913"/>
      <c r="M38" s="276"/>
      <c r="N38" s="276"/>
      <c r="O38" s="276"/>
      <c r="P38" s="276"/>
      <c r="Q38" s="276"/>
    </row>
    <row r="39" spans="2:17" ht="15" customHeight="1" thickBot="1">
      <c r="B39" s="1041" t="s">
        <v>127</v>
      </c>
      <c r="C39" s="1042">
        <f>C36-(C37+C38)</f>
        <v>-2505.8666666666613</v>
      </c>
      <c r="D39" s="1042">
        <f>D36-(D37+D38)</f>
        <v>-1881.8666666666613</v>
      </c>
      <c r="E39" s="1042">
        <f>E36-(E37+E38)</f>
        <v>8655.066666666673</v>
      </c>
      <c r="F39" s="1043">
        <f>F36-(F37+F38)</f>
        <v>19192</v>
      </c>
    </row>
    <row r="43" spans="2:17" ht="9" customHeight="1"/>
    <row r="48" spans="2:17" ht="15" customHeight="1">
      <c r="B48" s="1003"/>
      <c r="C48" s="1005"/>
      <c r="D48" s="1006"/>
      <c r="E48" s="1006"/>
      <c r="F48" s="1006"/>
      <c r="G48" s="1006"/>
      <c r="H48" s="1006"/>
      <c r="I48" s="1006"/>
    </row>
    <row r="54" spans="7:7" ht="15" customHeight="1">
      <c r="G54" s="844"/>
    </row>
  </sheetData>
  <sheetProtection algorithmName="SHA-512" hashValue="lWyUCWjN7s+l7IHXn4rhboYBzwck71VwjiHtZYdDvRxLGHHsHgHkljnKSIL6GiEIIfYg8gXKk8d51RDV1f+foQ==" saltValue="MN/wydzK+8ZKTWhKhhCwsw==" spinCount="100000" sheet="1" objects="1" scenarios="1"/>
  <mergeCells count="3">
    <mergeCell ref="B5:H5"/>
    <mergeCell ref="A8:A12"/>
    <mergeCell ref="C20:G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0D72-DCD0-4703-BD9A-038B25800226}">
  <sheetPr codeName="Sheet8">
    <tabColor theme="9" tint="-0.249977111117893"/>
  </sheetPr>
  <dimension ref="A1:AD966"/>
  <sheetViews>
    <sheetView showGridLines="0" workbookViewId="0">
      <selection activeCell="O15" sqref="O15"/>
    </sheetView>
  </sheetViews>
  <sheetFormatPr defaultColWidth="17.27734375" defaultRowHeight="15" customHeight="1"/>
  <cols>
    <col min="1" max="1" width="27.83203125" style="910" customWidth="1"/>
    <col min="2" max="2" width="7.71875" style="910" customWidth="1"/>
    <col min="3" max="4" width="12.71875" style="910" customWidth="1"/>
    <col min="5" max="5" width="11.27734375" style="910" customWidth="1"/>
    <col min="6" max="7" width="12.71875" style="910" customWidth="1"/>
    <col min="8" max="26" width="8.71875" style="910" customWidth="1"/>
    <col min="27" max="30" width="8.71875" style="911" customWidth="1"/>
    <col min="31" max="16384" width="17.27734375" style="911"/>
  </cols>
  <sheetData>
    <row r="1" spans="1:30" ht="12" customHeight="1"/>
    <row r="2" spans="1:30" ht="12" customHeight="1">
      <c r="A2" s="916" t="s">
        <v>757</v>
      </c>
    </row>
    <row r="3" spans="1:30" ht="12" customHeight="1">
      <c r="G3" s="294"/>
    </row>
    <row r="4" spans="1:30" ht="12" customHeight="1">
      <c r="A4" s="818" t="s">
        <v>613</v>
      </c>
      <c r="B4" s="818" t="s">
        <v>179</v>
      </c>
      <c r="C4" s="819" t="s">
        <v>31</v>
      </c>
      <c r="D4" s="819" t="s">
        <v>21</v>
      </c>
      <c r="E4" s="819" t="s">
        <v>32</v>
      </c>
      <c r="F4" s="820" t="s">
        <v>33</v>
      </c>
      <c r="G4" s="821"/>
      <c r="H4" s="792" t="s">
        <v>905</v>
      </c>
      <c r="I4" s="281"/>
      <c r="J4" s="1307"/>
      <c r="K4" s="1307"/>
      <c r="L4" s="1307"/>
      <c r="M4" s="1307"/>
      <c r="N4" s="1307"/>
      <c r="O4" s="281"/>
    </row>
    <row r="5" spans="1:30" ht="12" customHeight="1">
      <c r="A5" s="336" t="str">
        <f t="shared" ref="A5:A12" si="0">IF(A17="", "", A17)</f>
        <v>Tours</v>
      </c>
      <c r="B5" s="433"/>
      <c r="C5" s="337">
        <f>IF(SUM(C17:N17)&gt;0, SUM(C17:N17), "")</f>
        <v>200</v>
      </c>
      <c r="D5" s="337" t="str">
        <f>IF(SUM(O17:Z17)&gt;0, SUM(O17:Z17), "")</f>
        <v/>
      </c>
      <c r="E5" s="337" t="str">
        <f>IF(D5="", "", D5*(1+B5))</f>
        <v/>
      </c>
      <c r="F5" s="822" t="str">
        <f>IF(E5="", "", E5*(1+B5))</f>
        <v/>
      </c>
      <c r="G5" s="823"/>
      <c r="H5" s="1306" t="s">
        <v>904</v>
      </c>
      <c r="I5" s="281"/>
      <c r="J5" s="1307"/>
      <c r="K5" s="1307"/>
      <c r="L5" s="1307"/>
      <c r="M5" s="1307"/>
      <c r="N5" s="1307"/>
      <c r="O5" s="281"/>
    </row>
    <row r="6" spans="1:30" ht="12" customHeight="1">
      <c r="A6" s="336" t="str">
        <f t="shared" si="0"/>
        <v>Workshops</v>
      </c>
      <c r="B6" s="433"/>
      <c r="C6" s="337" t="str">
        <f t="shared" ref="C6:C12" si="1">IF(SUM(C18:N18)&gt;0, SUM(C18:N18), "")</f>
        <v/>
      </c>
      <c r="D6" s="337" t="str">
        <f t="shared" ref="D6:D12" si="2">IF(SUM(O18:Z18)&gt;0, SUM(O18:Z18), "")</f>
        <v/>
      </c>
      <c r="E6" s="337" t="str">
        <f t="shared" ref="E6:E12" si="3">IF(D6="", "", D6*(1+B6))</f>
        <v/>
      </c>
      <c r="F6" s="822" t="str">
        <f t="shared" ref="F6:F12" si="4">IF(E6="", "", E6*(1+B6))</f>
        <v/>
      </c>
      <c r="G6" s="823"/>
      <c r="H6" s="1308" t="s">
        <v>906</v>
      </c>
      <c r="I6" s="281"/>
      <c r="J6" s="1307"/>
      <c r="K6" s="1307"/>
      <c r="L6" s="1307"/>
      <c r="M6" s="1307"/>
      <c r="N6" s="1307"/>
      <c r="O6" s="281"/>
    </row>
    <row r="7" spans="1:30" ht="12" customHeight="1">
      <c r="A7" s="336" t="str">
        <f t="shared" si="0"/>
        <v>Nutrients</v>
      </c>
      <c r="B7" s="433"/>
      <c r="C7" s="337" t="str">
        <f t="shared" si="1"/>
        <v/>
      </c>
      <c r="D7" s="337" t="str">
        <f t="shared" si="2"/>
        <v/>
      </c>
      <c r="E7" s="337" t="str">
        <f t="shared" si="3"/>
        <v/>
      </c>
      <c r="F7" s="822" t="str">
        <f t="shared" si="4"/>
        <v/>
      </c>
      <c r="G7" s="823"/>
      <c r="H7" s="281"/>
      <c r="I7" s="281"/>
      <c r="J7" s="1307"/>
      <c r="K7" s="1307"/>
      <c r="L7" s="1307"/>
      <c r="M7" s="1307"/>
      <c r="N7" s="1307"/>
      <c r="O7" s="281"/>
    </row>
    <row r="8" spans="1:30" ht="12" customHeight="1">
      <c r="A8" s="336" t="str">
        <f t="shared" si="0"/>
        <v>Fingerlings</v>
      </c>
      <c r="B8" s="433"/>
      <c r="C8" s="337">
        <f t="shared" si="1"/>
        <v>75</v>
      </c>
      <c r="D8" s="337" t="str">
        <f t="shared" si="2"/>
        <v/>
      </c>
      <c r="E8" s="337" t="str">
        <f t="shared" si="3"/>
        <v/>
      </c>
      <c r="F8" s="822" t="str">
        <f t="shared" si="4"/>
        <v/>
      </c>
      <c r="G8" s="823"/>
      <c r="H8" s="281"/>
      <c r="I8" s="281"/>
      <c r="J8" s="1307"/>
      <c r="K8" s="1307"/>
      <c r="L8" s="1307"/>
      <c r="M8" s="1307"/>
      <c r="N8" s="1307"/>
      <c r="O8" s="281"/>
    </row>
    <row r="9" spans="1:30" ht="12" customHeight="1">
      <c r="A9" s="336" t="str">
        <f t="shared" si="0"/>
        <v/>
      </c>
      <c r="B9" s="433"/>
      <c r="C9" s="337" t="str">
        <f t="shared" si="1"/>
        <v/>
      </c>
      <c r="D9" s="337" t="str">
        <f t="shared" si="2"/>
        <v/>
      </c>
      <c r="E9" s="337" t="str">
        <f t="shared" si="3"/>
        <v/>
      </c>
      <c r="F9" s="822" t="str">
        <f t="shared" si="4"/>
        <v/>
      </c>
      <c r="G9" s="823"/>
      <c r="H9" s="281"/>
      <c r="I9" s="281"/>
      <c r="J9" s="1307"/>
      <c r="K9" s="1307"/>
      <c r="L9" s="1307"/>
      <c r="M9" s="1307"/>
      <c r="N9" s="1307"/>
      <c r="O9" s="281"/>
    </row>
    <row r="10" spans="1:30" ht="12" customHeight="1">
      <c r="A10" s="336" t="str">
        <f t="shared" si="0"/>
        <v>Nutrients</v>
      </c>
      <c r="B10" s="433"/>
      <c r="C10" s="337" t="str">
        <f t="shared" si="1"/>
        <v/>
      </c>
      <c r="D10" s="337" t="str">
        <f t="shared" si="2"/>
        <v/>
      </c>
      <c r="E10" s="337" t="str">
        <f t="shared" si="3"/>
        <v/>
      </c>
      <c r="F10" s="822" t="str">
        <f t="shared" si="4"/>
        <v/>
      </c>
      <c r="G10" s="823"/>
      <c r="H10" s="281"/>
      <c r="I10" s="281"/>
      <c r="J10" s="1307"/>
      <c r="K10" s="1307"/>
      <c r="L10" s="1307"/>
      <c r="M10" s="1307"/>
      <c r="N10" s="1307"/>
      <c r="O10" s="281"/>
    </row>
    <row r="11" spans="1:30" ht="12" customHeight="1">
      <c r="A11" s="336" t="str">
        <f t="shared" si="0"/>
        <v/>
      </c>
      <c r="B11" s="433"/>
      <c r="C11" s="337" t="str">
        <f t="shared" si="1"/>
        <v/>
      </c>
      <c r="D11" s="337" t="str">
        <f t="shared" si="2"/>
        <v/>
      </c>
      <c r="E11" s="337" t="str">
        <f t="shared" si="3"/>
        <v/>
      </c>
      <c r="F11" s="822" t="str">
        <f t="shared" si="4"/>
        <v/>
      </c>
      <c r="G11" s="823"/>
      <c r="H11" s="281"/>
      <c r="I11" s="281"/>
      <c r="J11" s="1307"/>
      <c r="K11" s="1307"/>
      <c r="L11" s="1307"/>
      <c r="M11" s="1307"/>
      <c r="N11" s="1307"/>
      <c r="O11" s="281"/>
    </row>
    <row r="12" spans="1:30" ht="12" customHeight="1">
      <c r="A12" s="336" t="str">
        <f t="shared" si="0"/>
        <v/>
      </c>
      <c r="B12" s="433"/>
      <c r="C12" s="337" t="str">
        <f t="shared" si="1"/>
        <v/>
      </c>
      <c r="D12" s="337" t="str">
        <f t="shared" si="2"/>
        <v/>
      </c>
      <c r="E12" s="337" t="str">
        <f t="shared" si="3"/>
        <v/>
      </c>
      <c r="F12" s="822" t="str">
        <f t="shared" si="4"/>
        <v/>
      </c>
      <c r="G12" s="823"/>
    </row>
    <row r="13" spans="1:30" ht="12" customHeight="1">
      <c r="A13" s="439" t="s">
        <v>591</v>
      </c>
      <c r="B13" s="438"/>
      <c r="C13" s="770">
        <f>SUM(C5:C12)</f>
        <v>275</v>
      </c>
      <c r="D13" s="770">
        <f>SUM(D5:D12)</f>
        <v>0</v>
      </c>
      <c r="E13" s="770">
        <f>SUM(E5:E12)</f>
        <v>0</v>
      </c>
      <c r="F13" s="770">
        <f>SUM(F5:F12)</f>
        <v>0</v>
      </c>
      <c r="G13" s="823"/>
    </row>
    <row r="14" spans="1:30" ht="12" customHeight="1"/>
    <row r="15" spans="1:30" ht="12" customHeight="1">
      <c r="A15" s="792" t="s">
        <v>722</v>
      </c>
      <c r="B15" s="825"/>
      <c r="C15" s="826" t="s">
        <v>31</v>
      </c>
      <c r="D15" s="825"/>
      <c r="N15" s="827"/>
      <c r="O15" s="910" t="s">
        <v>21</v>
      </c>
      <c r="AA15" s="272"/>
      <c r="AB15" s="272"/>
      <c r="AC15" s="272"/>
      <c r="AD15" s="272"/>
    </row>
    <row r="16" spans="1:30" ht="12" customHeight="1">
      <c r="A16" s="828" t="s">
        <v>723</v>
      </c>
      <c r="B16" s="829" t="s">
        <v>724</v>
      </c>
      <c r="C16" s="1309">
        <f>'2 yr monthly cash flow'!B8</f>
        <v>6</v>
      </c>
      <c r="D16" s="831">
        <f>'2 yr monthly cash flow'!C8</f>
        <v>7</v>
      </c>
      <c r="E16" s="776">
        <f>'2 yr monthly cash flow'!D8</f>
        <v>8</v>
      </c>
      <c r="F16" s="776">
        <f>'2 yr monthly cash flow'!E8</f>
        <v>9</v>
      </c>
      <c r="G16" s="776">
        <f>'2 yr monthly cash flow'!F8</f>
        <v>10</v>
      </c>
      <c r="H16" s="776">
        <f>'2 yr monthly cash flow'!G8</f>
        <v>11</v>
      </c>
      <c r="I16" s="776">
        <f>'2 yr monthly cash flow'!H8</f>
        <v>12</v>
      </c>
      <c r="J16" s="776">
        <f>'2 yr monthly cash flow'!I8</f>
        <v>1</v>
      </c>
      <c r="K16" s="776">
        <f>'2 yr monthly cash flow'!J8</f>
        <v>2</v>
      </c>
      <c r="L16" s="776">
        <f>'2 yr monthly cash flow'!K8</f>
        <v>3</v>
      </c>
      <c r="M16" s="776">
        <f>'2 yr monthly cash flow'!L8</f>
        <v>4</v>
      </c>
      <c r="N16" s="832">
        <f>'2 yr monthly cash flow'!M8</f>
        <v>5</v>
      </c>
      <c r="O16" s="776">
        <f>'2 yr monthly cash flow'!N8</f>
        <v>6</v>
      </c>
      <c r="P16" s="776">
        <f>'2 yr monthly cash flow'!O8</f>
        <v>7</v>
      </c>
      <c r="Q16" s="776">
        <f>'2 yr monthly cash flow'!P8</f>
        <v>8</v>
      </c>
      <c r="R16" s="776">
        <f>'2 yr monthly cash flow'!Q8</f>
        <v>9</v>
      </c>
      <c r="S16" s="776">
        <f>'2 yr monthly cash flow'!R8</f>
        <v>10</v>
      </c>
      <c r="T16" s="776">
        <f>'2 yr monthly cash flow'!S8</f>
        <v>11</v>
      </c>
      <c r="U16" s="776">
        <f>'2 yr monthly cash flow'!T8</f>
        <v>12</v>
      </c>
      <c r="V16" s="776">
        <f>'2 yr monthly cash flow'!U8</f>
        <v>1</v>
      </c>
      <c r="W16" s="776">
        <f>'2 yr monthly cash flow'!V8</f>
        <v>2</v>
      </c>
      <c r="X16" s="776">
        <f>'2 yr monthly cash flow'!W8</f>
        <v>3</v>
      </c>
      <c r="Y16" s="776">
        <f>'2 yr monthly cash flow'!X8</f>
        <v>4</v>
      </c>
      <c r="Z16" s="776">
        <f>'2 yr monthly cash flow'!Y8</f>
        <v>5</v>
      </c>
      <c r="AA16" s="273"/>
      <c r="AB16" s="273"/>
      <c r="AC16" s="251"/>
      <c r="AD16" s="251"/>
    </row>
    <row r="17" spans="1:28" ht="12" customHeight="1">
      <c r="A17" s="435" t="s">
        <v>758</v>
      </c>
      <c r="B17" s="833"/>
      <c r="C17" s="834">
        <v>100</v>
      </c>
      <c r="D17" s="835">
        <v>100</v>
      </c>
      <c r="E17" s="836"/>
      <c r="F17" s="836"/>
      <c r="G17" s="836"/>
      <c r="H17" s="836"/>
      <c r="I17" s="836"/>
      <c r="J17" s="836"/>
      <c r="K17" s="836"/>
      <c r="L17" s="836"/>
      <c r="M17" s="836"/>
      <c r="N17" s="837"/>
      <c r="O17" s="836"/>
      <c r="P17" s="836"/>
      <c r="Q17" s="836"/>
      <c r="R17" s="836"/>
      <c r="S17" s="836"/>
      <c r="T17" s="836"/>
      <c r="U17" s="836"/>
      <c r="V17" s="836"/>
      <c r="W17" s="836"/>
      <c r="X17" s="836"/>
      <c r="Y17" s="836"/>
      <c r="Z17" s="836"/>
      <c r="AA17" s="15"/>
      <c r="AB17" s="15"/>
    </row>
    <row r="18" spans="1:28" ht="12" customHeight="1">
      <c r="A18" s="435" t="s">
        <v>654</v>
      </c>
      <c r="B18" s="833"/>
      <c r="C18" s="834"/>
      <c r="D18" s="835"/>
      <c r="E18" s="517"/>
      <c r="F18" s="517"/>
      <c r="G18" s="517"/>
      <c r="H18" s="517"/>
      <c r="I18" s="517"/>
      <c r="J18" s="517"/>
      <c r="K18" s="517"/>
      <c r="L18" s="517"/>
      <c r="M18" s="517"/>
      <c r="N18" s="837"/>
      <c r="O18" s="836"/>
      <c r="P18" s="517"/>
      <c r="Q18" s="517"/>
      <c r="R18" s="517"/>
      <c r="S18" s="517"/>
      <c r="T18" s="517"/>
      <c r="U18" s="517"/>
      <c r="V18" s="517"/>
      <c r="W18" s="517"/>
      <c r="X18" s="517"/>
      <c r="Y18" s="517"/>
      <c r="Z18" s="517"/>
      <c r="AA18" s="15"/>
      <c r="AB18" s="15"/>
    </row>
    <row r="19" spans="1:28" ht="12" customHeight="1">
      <c r="A19" s="435" t="s">
        <v>759</v>
      </c>
      <c r="B19" s="833"/>
      <c r="C19" s="834"/>
      <c r="D19" s="835"/>
      <c r="E19" s="836"/>
      <c r="F19" s="517"/>
      <c r="G19" s="517"/>
      <c r="H19" s="517"/>
      <c r="I19" s="517"/>
      <c r="J19" s="517"/>
      <c r="K19" s="517"/>
      <c r="L19" s="517"/>
      <c r="M19" s="517"/>
      <c r="N19" s="837"/>
      <c r="O19" s="836"/>
      <c r="P19" s="517"/>
      <c r="Q19" s="836"/>
      <c r="R19" s="517"/>
      <c r="S19" s="517"/>
      <c r="T19" s="517"/>
      <c r="U19" s="517"/>
      <c r="V19" s="517"/>
      <c r="W19" s="517"/>
      <c r="X19" s="517"/>
      <c r="Y19" s="517"/>
      <c r="Z19" s="517"/>
    </row>
    <row r="20" spans="1:28" ht="12" customHeight="1">
      <c r="A20" s="435" t="s">
        <v>313</v>
      </c>
      <c r="B20" s="833"/>
      <c r="C20" s="834"/>
      <c r="D20" s="835">
        <v>25</v>
      </c>
      <c r="E20" s="836"/>
      <c r="F20" s="836"/>
      <c r="G20" s="836">
        <v>25</v>
      </c>
      <c r="H20" s="836"/>
      <c r="I20" s="836"/>
      <c r="J20" s="836">
        <v>25</v>
      </c>
      <c r="K20" s="836"/>
      <c r="L20" s="836"/>
      <c r="M20" s="836"/>
      <c r="N20" s="837"/>
      <c r="O20" s="836"/>
      <c r="P20" s="836"/>
      <c r="Q20" s="836"/>
      <c r="R20" s="836"/>
      <c r="S20" s="836"/>
      <c r="T20" s="836"/>
      <c r="U20" s="836"/>
      <c r="V20" s="836"/>
      <c r="W20" s="836"/>
      <c r="X20" s="836"/>
      <c r="Y20" s="836"/>
      <c r="Z20" s="836"/>
    </row>
    <row r="21" spans="1:28" ht="12" customHeight="1">
      <c r="A21" s="435"/>
      <c r="B21" s="833"/>
      <c r="C21" s="834"/>
      <c r="D21" s="835"/>
      <c r="E21" s="517"/>
      <c r="F21" s="517"/>
      <c r="G21" s="517"/>
      <c r="H21" s="517"/>
      <c r="I21" s="517"/>
      <c r="J21" s="517"/>
      <c r="K21" s="517"/>
      <c r="L21" s="517"/>
      <c r="M21" s="517"/>
      <c r="N21" s="837"/>
      <c r="O21" s="836"/>
      <c r="P21" s="517"/>
      <c r="Q21" s="517"/>
      <c r="R21" s="517"/>
      <c r="S21" s="517"/>
      <c r="T21" s="517"/>
      <c r="U21" s="517"/>
      <c r="V21" s="517"/>
      <c r="W21" s="517"/>
      <c r="X21" s="517"/>
      <c r="Y21" s="517"/>
      <c r="Z21" s="517"/>
    </row>
    <row r="22" spans="1:28" ht="12" customHeight="1">
      <c r="A22" s="435" t="s">
        <v>759</v>
      </c>
      <c r="B22" s="833"/>
      <c r="C22" s="834"/>
      <c r="D22" s="835"/>
      <c r="E22" s="517"/>
      <c r="F22" s="517"/>
      <c r="G22" s="517"/>
      <c r="H22" s="517"/>
      <c r="I22" s="517"/>
      <c r="J22" s="517"/>
      <c r="K22" s="517"/>
      <c r="L22" s="517"/>
      <c r="M22" s="517"/>
      <c r="N22" s="837"/>
      <c r="O22" s="836"/>
      <c r="P22" s="517"/>
      <c r="Q22" s="517"/>
      <c r="R22" s="517"/>
      <c r="S22" s="517"/>
      <c r="T22" s="517"/>
      <c r="U22" s="517"/>
      <c r="V22" s="517"/>
      <c r="W22" s="517"/>
      <c r="X22" s="517"/>
      <c r="Y22" s="517"/>
      <c r="Z22" s="517"/>
    </row>
    <row r="23" spans="1:28" ht="12" customHeight="1">
      <c r="A23" s="429"/>
      <c r="B23" s="833"/>
      <c r="C23" s="834"/>
      <c r="D23" s="835"/>
      <c r="E23" s="517"/>
      <c r="F23" s="517"/>
      <c r="G23" s="517"/>
      <c r="H23" s="517"/>
      <c r="I23" s="517"/>
      <c r="J23" s="517"/>
      <c r="K23" s="517"/>
      <c r="L23" s="517"/>
      <c r="M23" s="517"/>
      <c r="N23" s="837"/>
      <c r="O23" s="836"/>
      <c r="P23" s="517"/>
      <c r="Q23" s="517"/>
      <c r="R23" s="517"/>
      <c r="S23" s="517"/>
      <c r="T23" s="517"/>
      <c r="U23" s="517"/>
      <c r="V23" s="517"/>
      <c r="W23" s="517"/>
      <c r="X23" s="517"/>
      <c r="Y23" s="517"/>
      <c r="Z23" s="517"/>
    </row>
    <row r="24" spans="1:28" ht="12" customHeight="1">
      <c r="A24" s="429"/>
      <c r="B24" s="833"/>
      <c r="C24" s="834"/>
      <c r="D24" s="835"/>
      <c r="E24" s="517"/>
      <c r="F24" s="517"/>
      <c r="G24" s="517"/>
      <c r="H24" s="517"/>
      <c r="I24" s="517"/>
      <c r="J24" s="517"/>
      <c r="K24" s="517"/>
      <c r="L24" s="517"/>
      <c r="M24" s="517"/>
      <c r="N24" s="837"/>
      <c r="O24" s="836"/>
      <c r="P24" s="517"/>
      <c r="Q24" s="517"/>
      <c r="R24" s="517"/>
      <c r="S24" s="517"/>
      <c r="T24" s="517"/>
      <c r="U24" s="517"/>
      <c r="V24" s="517"/>
      <c r="W24" s="517"/>
      <c r="X24" s="517"/>
      <c r="Y24" s="517"/>
      <c r="Z24" s="517"/>
    </row>
    <row r="25" spans="1:28" ht="12" customHeight="1">
      <c r="A25" s="439" t="s">
        <v>289</v>
      </c>
      <c r="B25" s="838"/>
      <c r="C25" s="839">
        <f t="shared" ref="C25:Z25" si="5">SUM(C17:C24)</f>
        <v>100</v>
      </c>
      <c r="D25" s="840">
        <f t="shared" si="5"/>
        <v>125</v>
      </c>
      <c r="E25" s="841">
        <f t="shared" si="5"/>
        <v>0</v>
      </c>
      <c r="F25" s="841">
        <f t="shared" si="5"/>
        <v>0</v>
      </c>
      <c r="G25" s="841">
        <f t="shared" si="5"/>
        <v>25</v>
      </c>
      <c r="H25" s="841">
        <f t="shared" si="5"/>
        <v>0</v>
      </c>
      <c r="I25" s="841">
        <f t="shared" si="5"/>
        <v>0</v>
      </c>
      <c r="J25" s="841">
        <f t="shared" si="5"/>
        <v>25</v>
      </c>
      <c r="K25" s="841">
        <f t="shared" si="5"/>
        <v>0</v>
      </c>
      <c r="L25" s="841">
        <f t="shared" si="5"/>
        <v>0</v>
      </c>
      <c r="M25" s="841">
        <f t="shared" si="5"/>
        <v>0</v>
      </c>
      <c r="N25" s="842">
        <f t="shared" si="5"/>
        <v>0</v>
      </c>
      <c r="O25" s="843">
        <f t="shared" si="5"/>
        <v>0</v>
      </c>
      <c r="P25" s="841">
        <f t="shared" si="5"/>
        <v>0</v>
      </c>
      <c r="Q25" s="841">
        <f t="shared" si="5"/>
        <v>0</v>
      </c>
      <c r="R25" s="841">
        <f t="shared" si="5"/>
        <v>0</v>
      </c>
      <c r="S25" s="841">
        <f t="shared" si="5"/>
        <v>0</v>
      </c>
      <c r="T25" s="841">
        <f t="shared" si="5"/>
        <v>0</v>
      </c>
      <c r="U25" s="841">
        <f t="shared" si="5"/>
        <v>0</v>
      </c>
      <c r="V25" s="841">
        <f t="shared" si="5"/>
        <v>0</v>
      </c>
      <c r="W25" s="841">
        <f t="shared" si="5"/>
        <v>0</v>
      </c>
      <c r="X25" s="841">
        <f t="shared" si="5"/>
        <v>0</v>
      </c>
      <c r="Y25" s="841">
        <f t="shared" si="5"/>
        <v>0</v>
      </c>
      <c r="Z25" s="841">
        <f t="shared" si="5"/>
        <v>0</v>
      </c>
    </row>
    <row r="26" spans="1:28" ht="12" customHeight="1"/>
    <row r="27" spans="1:28" ht="12" customHeight="1"/>
    <row r="28" spans="1:28" ht="12" customHeight="1"/>
    <row r="29" spans="1:28" ht="12" customHeight="1"/>
    <row r="30" spans="1:28" ht="12" customHeight="1"/>
    <row r="31" spans="1:28" ht="12" customHeight="1"/>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sheetData>
  <sheetProtection algorithmName="SHA-512" hashValue="gJAMWCzzPXq3NoVlqt4OO8SPcCYZ4ePnZRh006ihkeE7FL5uC6gGDcYcj5c+lSr8ezgh5OJp2fcFZwyURwrRww==" saltValue="IPtNuhpsPxNG5yiyg0WFag==" spinCount="100000" sheet="1" objects="1" scenarios="1"/>
  <pageMargins left="0.75" right="0.75" top="1" bottom="1" header="0" footer="0"/>
  <pageSetup scale="7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24742-8E6C-41C3-92C8-B7A67E1E5220}">
  <sheetPr codeName="Sheet9">
    <tabColor rgb="FF0070C0"/>
  </sheetPr>
  <dimension ref="A1:AA1003"/>
  <sheetViews>
    <sheetView showGridLines="0" workbookViewId="0">
      <selection activeCell="L50" sqref="L50"/>
    </sheetView>
  </sheetViews>
  <sheetFormatPr defaultColWidth="17.27734375" defaultRowHeight="15" customHeight="1"/>
  <cols>
    <col min="1" max="1" width="3.83203125" style="914" customWidth="1"/>
    <col min="2" max="2" width="32.6640625" style="913" customWidth="1"/>
    <col min="3" max="3" width="8.5546875" style="913" customWidth="1"/>
    <col min="4" max="4" width="8.71875" style="913" customWidth="1"/>
    <col min="5" max="9" width="12.71875" style="913" customWidth="1"/>
    <col min="10" max="11" width="8.71875" style="913" customWidth="1"/>
    <col min="12" max="12" width="10.27734375" style="913" customWidth="1"/>
    <col min="13" max="27" width="8.71875" style="913" customWidth="1"/>
    <col min="28" max="16384" width="17.27734375" style="914"/>
  </cols>
  <sheetData>
    <row r="1" spans="2:27" ht="12" customHeight="1">
      <c r="C1" s="765"/>
    </row>
    <row r="2" spans="2:27" ht="18" customHeight="1">
      <c r="B2" s="392" t="s">
        <v>779</v>
      </c>
      <c r="C2" s="765"/>
      <c r="E2" s="710"/>
    </row>
    <row r="3" spans="2:27" ht="12" customHeight="1">
      <c r="C3" s="765"/>
      <c r="I3" s="294"/>
    </row>
    <row r="4" spans="2:27" ht="12" customHeight="1">
      <c r="B4" s="766" t="s">
        <v>590</v>
      </c>
      <c r="C4" s="767" t="s">
        <v>179</v>
      </c>
      <c r="D4" s="768" t="s">
        <v>31</v>
      </c>
      <c r="E4" s="768" t="s">
        <v>21</v>
      </c>
      <c r="F4" s="768" t="s">
        <v>32</v>
      </c>
      <c r="G4" s="768" t="s">
        <v>33</v>
      </c>
      <c r="I4" s="792" t="s">
        <v>905</v>
      </c>
      <c r="J4" s="948"/>
      <c r="K4" s="948"/>
      <c r="L4" s="948"/>
      <c r="M4" s="948"/>
    </row>
    <row r="5" spans="2:27" ht="12" customHeight="1">
      <c r="B5" s="319" t="s">
        <v>776</v>
      </c>
      <c r="C5" s="769"/>
      <c r="D5" s="337">
        <f>SUM(D14:O16)</f>
        <v>509.6</v>
      </c>
      <c r="E5" s="337">
        <f>SUM(P14:AA16)</f>
        <v>509.6</v>
      </c>
      <c r="F5" s="337">
        <f>E5*(1+C5)</f>
        <v>509.6</v>
      </c>
      <c r="G5" s="337">
        <f>F5*(1+C5)</f>
        <v>509.6</v>
      </c>
      <c r="I5" s="948" t="s">
        <v>907</v>
      </c>
      <c r="J5" s="948"/>
      <c r="K5" s="948"/>
      <c r="L5" s="948"/>
      <c r="M5" s="948"/>
    </row>
    <row r="6" spans="2:27" ht="12" customHeight="1">
      <c r="B6" s="319" t="s">
        <v>777</v>
      </c>
      <c r="C6" s="769"/>
      <c r="D6" s="337">
        <f>SUM(D18:O20)</f>
        <v>0</v>
      </c>
      <c r="E6" s="337">
        <f>SUM(P18:AA20)</f>
        <v>0</v>
      </c>
      <c r="F6" s="337">
        <f>E6*(1+C6)</f>
        <v>0</v>
      </c>
      <c r="G6" s="337">
        <f>F6*(1+C6)</f>
        <v>0</v>
      </c>
      <c r="I6" s="948" t="s">
        <v>908</v>
      </c>
      <c r="J6" s="948"/>
      <c r="K6" s="948"/>
      <c r="L6" s="948"/>
      <c r="M6" s="948"/>
    </row>
    <row r="7" spans="2:27" ht="12" customHeight="1">
      <c r="B7" s="319" t="s">
        <v>778</v>
      </c>
      <c r="C7" s="769"/>
      <c r="D7" s="337">
        <f>SUM(D22:O25)</f>
        <v>0</v>
      </c>
      <c r="E7" s="337">
        <f>SUM(P22:AA25)</f>
        <v>0</v>
      </c>
      <c r="F7" s="337">
        <f>E7*(1+C7)</f>
        <v>0</v>
      </c>
      <c r="G7" s="337">
        <f>F7*(1+C7)</f>
        <v>0</v>
      </c>
      <c r="I7" s="948"/>
      <c r="J7" s="948"/>
      <c r="K7" s="948"/>
      <c r="L7" s="948"/>
      <c r="M7" s="948"/>
    </row>
    <row r="8" spans="2:27" ht="12" customHeight="1">
      <c r="B8" s="439" t="s">
        <v>591</v>
      </c>
      <c r="C8" s="324"/>
      <c r="D8" s="770">
        <f>SUM(D5:D7)</f>
        <v>509.6</v>
      </c>
      <c r="E8" s="770">
        <f>SUM(E5:E7)</f>
        <v>509.6</v>
      </c>
      <c r="F8" s="770">
        <f>SUM(F5:F7)</f>
        <v>509.6</v>
      </c>
      <c r="G8" s="770">
        <f>SUM(G5:G7)</f>
        <v>509.6</v>
      </c>
      <c r="I8" s="948"/>
      <c r="J8" s="948"/>
      <c r="K8" s="948"/>
      <c r="L8" s="948"/>
      <c r="M8" s="948"/>
    </row>
    <row r="9" spans="2:27" ht="12" customHeight="1">
      <c r="C9" s="765"/>
    </row>
    <row r="10" spans="2:27" ht="12" customHeight="1">
      <c r="C10" s="771"/>
      <c r="D10" s="368" t="s">
        <v>31</v>
      </c>
      <c r="E10" s="368"/>
      <c r="O10" s="772"/>
      <c r="P10" s="773" t="s">
        <v>21</v>
      </c>
    </row>
    <row r="11" spans="2:27" ht="12" customHeight="1">
      <c r="B11" s="774" t="s">
        <v>720</v>
      </c>
      <c r="C11" s="775"/>
      <c r="D11" s="1311">
        <f>'2 yr monthly cash flow'!B8</f>
        <v>6</v>
      </c>
      <c r="E11" s="637">
        <f>'2 yr monthly cash flow'!C8</f>
        <v>7</v>
      </c>
      <c r="F11" s="637">
        <f>'2 yr monthly cash flow'!D8</f>
        <v>8</v>
      </c>
      <c r="G11" s="637">
        <f>'2 yr monthly cash flow'!E8</f>
        <v>9</v>
      </c>
      <c r="H11" s="637">
        <f>'2 yr monthly cash flow'!F8</f>
        <v>10</v>
      </c>
      <c r="I11" s="637">
        <f>'2 yr monthly cash flow'!G8</f>
        <v>11</v>
      </c>
      <c r="J11" s="637">
        <f>'2 yr monthly cash flow'!H8</f>
        <v>12</v>
      </c>
      <c r="K11" s="637">
        <f>'2 yr monthly cash flow'!I8</f>
        <v>1</v>
      </c>
      <c r="L11" s="637">
        <f>'2 yr monthly cash flow'!J8</f>
        <v>2</v>
      </c>
      <c r="M11" s="637">
        <f>'2 yr monthly cash flow'!K8</f>
        <v>3</v>
      </c>
      <c r="N11" s="637">
        <f>'2 yr monthly cash flow'!L8</f>
        <v>4</v>
      </c>
      <c r="O11" s="777">
        <f>'2 yr monthly cash flow'!M8</f>
        <v>5</v>
      </c>
      <c r="P11" s="778">
        <f>'2 yr monthly cash flow'!N8</f>
        <v>6</v>
      </c>
      <c r="Q11" s="637">
        <f>'2 yr monthly cash flow'!O8</f>
        <v>7</v>
      </c>
      <c r="R11" s="637">
        <f>'2 yr monthly cash flow'!P8</f>
        <v>8</v>
      </c>
      <c r="S11" s="637">
        <f>'2 yr monthly cash flow'!Q8</f>
        <v>9</v>
      </c>
      <c r="T11" s="637">
        <f>'2 yr monthly cash flow'!R8</f>
        <v>10</v>
      </c>
      <c r="U11" s="637">
        <f>'2 yr monthly cash flow'!S8</f>
        <v>11</v>
      </c>
      <c r="V11" s="637">
        <f>'2 yr monthly cash flow'!T8</f>
        <v>12</v>
      </c>
      <c r="W11" s="637">
        <f>'2 yr monthly cash flow'!U8</f>
        <v>1</v>
      </c>
      <c r="X11" s="637">
        <f>'2 yr monthly cash flow'!V8</f>
        <v>2</v>
      </c>
      <c r="Y11" s="637">
        <f>'2 yr monthly cash flow'!W8</f>
        <v>3</v>
      </c>
      <c r="Z11" s="637">
        <f>'2 yr monthly cash flow'!X8</f>
        <v>4</v>
      </c>
      <c r="AA11" s="637">
        <f>'2 yr monthly cash flow'!Y8</f>
        <v>5</v>
      </c>
    </row>
    <row r="12" spans="2:27" ht="12" customHeight="1">
      <c r="B12" s="779" t="s">
        <v>592</v>
      </c>
      <c r="C12" s="780"/>
      <c r="D12" s="781"/>
      <c r="E12" s="782"/>
      <c r="F12" s="782"/>
      <c r="G12" s="782"/>
      <c r="H12" s="782"/>
      <c r="I12" s="783"/>
      <c r="J12" s="783"/>
      <c r="K12" s="320"/>
      <c r="L12" s="783"/>
      <c r="M12" s="783"/>
      <c r="N12" s="783"/>
      <c r="O12" s="784"/>
      <c r="P12" s="785"/>
      <c r="Q12" s="783"/>
      <c r="R12" s="783"/>
      <c r="S12" s="783"/>
      <c r="T12" s="783"/>
      <c r="U12" s="783"/>
      <c r="V12" s="783"/>
      <c r="W12" s="783"/>
      <c r="X12" s="783"/>
      <c r="Y12" s="783"/>
      <c r="Z12" s="783"/>
      <c r="AA12" s="783"/>
    </row>
    <row r="13" spans="2:27" ht="12" customHeight="1">
      <c r="B13" s="445" t="s">
        <v>478</v>
      </c>
      <c r="C13" s="786"/>
      <c r="D13" s="785"/>
      <c r="E13" s="783"/>
      <c r="F13" s="783"/>
      <c r="G13" s="783"/>
      <c r="H13" s="783"/>
      <c r="I13" s="783"/>
      <c r="J13" s="783"/>
      <c r="K13" s="320"/>
      <c r="L13" s="783"/>
      <c r="M13" s="783"/>
      <c r="N13" s="783"/>
      <c r="O13" s="784"/>
      <c r="P13" s="785"/>
      <c r="Q13" s="783"/>
      <c r="R13" s="783"/>
      <c r="S13" s="783"/>
      <c r="T13" s="783"/>
      <c r="U13" s="783"/>
      <c r="V13" s="783"/>
      <c r="W13" s="783"/>
      <c r="X13" s="783"/>
      <c r="Y13" s="783"/>
      <c r="Z13" s="783"/>
      <c r="AA13" s="783"/>
    </row>
    <row r="14" spans="2:27" ht="12" customHeight="1">
      <c r="B14" s="336" t="s">
        <v>593</v>
      </c>
      <c r="C14" s="786"/>
      <c r="D14" s="785">
        <f>IFERROR(LOOKUP(D11,$B$33:$B$44,$C$33:$C$44),0)</f>
        <v>12.133333333333333</v>
      </c>
      <c r="E14" s="783">
        <f t="shared" ref="E14:AA14" si="0">LOOKUP(E11, $B$33:$B$44, $C$33:$C$44)</f>
        <v>12.133333333333333</v>
      </c>
      <c r="F14" s="783">
        <f t="shared" si="0"/>
        <v>12.133333333333333</v>
      </c>
      <c r="G14" s="783">
        <f t="shared" si="0"/>
        <v>12.133333333333333</v>
      </c>
      <c r="H14" s="783">
        <f t="shared" si="0"/>
        <v>0</v>
      </c>
      <c r="I14" s="783">
        <f t="shared" si="0"/>
        <v>0</v>
      </c>
      <c r="J14" s="783">
        <f t="shared" si="0"/>
        <v>0</v>
      </c>
      <c r="K14" s="783">
        <f t="shared" si="0"/>
        <v>0</v>
      </c>
      <c r="L14" s="783">
        <f t="shared" si="0"/>
        <v>0</v>
      </c>
      <c r="M14" s="783">
        <f t="shared" si="0"/>
        <v>0</v>
      </c>
      <c r="N14" s="783">
        <f t="shared" si="0"/>
        <v>12.133333333333333</v>
      </c>
      <c r="O14" s="784">
        <f t="shared" si="0"/>
        <v>12.133333333333333</v>
      </c>
      <c r="P14" s="785">
        <f>IFERROR(LOOKUP(P11,$B$33:$B$44,$C$33:$C$44),0)</f>
        <v>12.133333333333333</v>
      </c>
      <c r="Q14" s="783">
        <f t="shared" si="0"/>
        <v>12.133333333333333</v>
      </c>
      <c r="R14" s="783">
        <f t="shared" si="0"/>
        <v>12.133333333333333</v>
      </c>
      <c r="S14" s="783">
        <f t="shared" si="0"/>
        <v>12.133333333333333</v>
      </c>
      <c r="T14" s="783">
        <f t="shared" si="0"/>
        <v>0</v>
      </c>
      <c r="U14" s="783">
        <f t="shared" si="0"/>
        <v>0</v>
      </c>
      <c r="V14" s="783">
        <f t="shared" si="0"/>
        <v>0</v>
      </c>
      <c r="W14" s="783">
        <f t="shared" si="0"/>
        <v>0</v>
      </c>
      <c r="X14" s="783">
        <f t="shared" si="0"/>
        <v>0</v>
      </c>
      <c r="Y14" s="783">
        <f t="shared" si="0"/>
        <v>0</v>
      </c>
      <c r="Z14" s="783">
        <f t="shared" si="0"/>
        <v>12.133333333333333</v>
      </c>
      <c r="AA14" s="783">
        <f t="shared" si="0"/>
        <v>12.133333333333333</v>
      </c>
    </row>
    <row r="15" spans="2:27" ht="12" customHeight="1">
      <c r="B15" s="336" t="s">
        <v>594</v>
      </c>
      <c r="C15" s="786"/>
      <c r="D15" s="785">
        <f>IFERROR(LOOKUP(D11,$B$33:$B$44,$D$33:$D$44),0)</f>
        <v>72.8</v>
      </c>
      <c r="E15" s="783">
        <f t="shared" ref="E15:AA15" si="1">LOOKUP(E11, $B$33:$B$44, $D$33:$D$44)</f>
        <v>72.8</v>
      </c>
      <c r="F15" s="783">
        <f t="shared" si="1"/>
        <v>72.8</v>
      </c>
      <c r="G15" s="783">
        <f t="shared" si="1"/>
        <v>72.8</v>
      </c>
      <c r="H15" s="783">
        <f t="shared" si="1"/>
        <v>0</v>
      </c>
      <c r="I15" s="783">
        <f t="shared" si="1"/>
        <v>0</v>
      </c>
      <c r="J15" s="783">
        <f t="shared" si="1"/>
        <v>0</v>
      </c>
      <c r="K15" s="783">
        <f t="shared" si="1"/>
        <v>0</v>
      </c>
      <c r="L15" s="783">
        <f t="shared" si="1"/>
        <v>0</v>
      </c>
      <c r="M15" s="783">
        <f t="shared" si="1"/>
        <v>0</v>
      </c>
      <c r="N15" s="783">
        <f t="shared" si="1"/>
        <v>72.8</v>
      </c>
      <c r="O15" s="784">
        <f t="shared" si="1"/>
        <v>72.8</v>
      </c>
      <c r="P15" s="785">
        <f>IFERROR(LOOKUP(P11,$B$33:$B$44,$D$33:$D$44),0)</f>
        <v>72.8</v>
      </c>
      <c r="Q15" s="783">
        <f t="shared" si="1"/>
        <v>72.8</v>
      </c>
      <c r="R15" s="783">
        <f t="shared" si="1"/>
        <v>72.8</v>
      </c>
      <c r="S15" s="783">
        <f t="shared" si="1"/>
        <v>72.8</v>
      </c>
      <c r="T15" s="783">
        <f t="shared" si="1"/>
        <v>0</v>
      </c>
      <c r="U15" s="783">
        <f t="shared" si="1"/>
        <v>0</v>
      </c>
      <c r="V15" s="783">
        <f t="shared" si="1"/>
        <v>0</v>
      </c>
      <c r="W15" s="783">
        <f t="shared" si="1"/>
        <v>0</v>
      </c>
      <c r="X15" s="783">
        <f t="shared" si="1"/>
        <v>0</v>
      </c>
      <c r="Y15" s="783">
        <f t="shared" si="1"/>
        <v>0</v>
      </c>
      <c r="Z15" s="783">
        <f t="shared" si="1"/>
        <v>72.8</v>
      </c>
      <c r="AA15" s="783">
        <f t="shared" si="1"/>
        <v>72.8</v>
      </c>
    </row>
    <row r="16" spans="2:27" ht="12" customHeight="1">
      <c r="B16" s="336" t="s">
        <v>595</v>
      </c>
      <c r="C16" s="786"/>
      <c r="D16" s="785">
        <f>IFERROR(LOOKUP(D11,$B$33:$B$44,$E$33:$E$44),0)</f>
        <v>0</v>
      </c>
      <c r="E16" s="783">
        <f t="shared" ref="E16:AA16" si="2">LOOKUP(E11, $B$33:$B$44, $E$33:$E$44)</f>
        <v>0</v>
      </c>
      <c r="F16" s="783">
        <f t="shared" si="2"/>
        <v>0</v>
      </c>
      <c r="G16" s="783">
        <f t="shared" si="2"/>
        <v>0</v>
      </c>
      <c r="H16" s="783">
        <f t="shared" si="2"/>
        <v>0</v>
      </c>
      <c r="I16" s="783">
        <f t="shared" si="2"/>
        <v>0</v>
      </c>
      <c r="J16" s="783">
        <f t="shared" si="2"/>
        <v>0</v>
      </c>
      <c r="K16" s="783">
        <f t="shared" si="2"/>
        <v>0</v>
      </c>
      <c r="L16" s="783">
        <f t="shared" si="2"/>
        <v>0</v>
      </c>
      <c r="M16" s="783">
        <f t="shared" si="2"/>
        <v>0</v>
      </c>
      <c r="N16" s="783">
        <f t="shared" si="2"/>
        <v>0</v>
      </c>
      <c r="O16" s="784">
        <f t="shared" si="2"/>
        <v>0</v>
      </c>
      <c r="P16" s="785">
        <f>IFERROR(LOOKUP(P11,$B$33:$B$44,$E$33:$E$44),0)</f>
        <v>0</v>
      </c>
      <c r="Q16" s="783">
        <f t="shared" si="2"/>
        <v>0</v>
      </c>
      <c r="R16" s="783">
        <f t="shared" si="2"/>
        <v>0</v>
      </c>
      <c r="S16" s="783">
        <f t="shared" si="2"/>
        <v>0</v>
      </c>
      <c r="T16" s="783">
        <f t="shared" si="2"/>
        <v>0</v>
      </c>
      <c r="U16" s="783">
        <f t="shared" si="2"/>
        <v>0</v>
      </c>
      <c r="V16" s="783">
        <f t="shared" si="2"/>
        <v>0</v>
      </c>
      <c r="W16" s="783">
        <f t="shared" si="2"/>
        <v>0</v>
      </c>
      <c r="X16" s="783">
        <f t="shared" si="2"/>
        <v>0</v>
      </c>
      <c r="Y16" s="783">
        <f t="shared" si="2"/>
        <v>0</v>
      </c>
      <c r="Z16" s="783">
        <f t="shared" si="2"/>
        <v>0</v>
      </c>
      <c r="AA16" s="783">
        <f t="shared" si="2"/>
        <v>0</v>
      </c>
    </row>
    <row r="17" spans="1:27" ht="12" customHeight="1">
      <c r="B17" s="445" t="s">
        <v>533</v>
      </c>
      <c r="C17" s="786"/>
      <c r="D17" s="785"/>
      <c r="E17" s="783"/>
      <c r="F17" s="783"/>
      <c r="G17" s="783"/>
      <c r="H17" s="783"/>
      <c r="I17" s="783"/>
      <c r="J17" s="783"/>
      <c r="K17" s="783"/>
      <c r="L17" s="783"/>
      <c r="M17" s="783"/>
      <c r="N17" s="783"/>
      <c r="O17" s="784"/>
      <c r="P17" s="785"/>
      <c r="Q17" s="783"/>
      <c r="R17" s="783"/>
      <c r="S17" s="783"/>
      <c r="T17" s="783"/>
      <c r="U17" s="783"/>
      <c r="V17" s="783"/>
      <c r="W17" s="783"/>
      <c r="X17" s="783"/>
      <c r="Y17" s="783"/>
      <c r="Z17" s="783"/>
      <c r="AA17" s="783"/>
    </row>
    <row r="18" spans="1:27" ht="12" customHeight="1">
      <c r="B18" s="336" t="s">
        <v>593</v>
      </c>
      <c r="C18" s="786"/>
      <c r="D18" s="785">
        <f>IFERROR(LOOKUP(D11,$B$33:$B$44,$F$33:$F$44),0)</f>
        <v>0</v>
      </c>
      <c r="E18" s="783">
        <f t="shared" ref="E18:AA18" si="3">LOOKUP(E11, $B$33:$B$44, $F$33:$F$44)</f>
        <v>0</v>
      </c>
      <c r="F18" s="783">
        <f t="shared" si="3"/>
        <v>0</v>
      </c>
      <c r="G18" s="783">
        <f t="shared" si="3"/>
        <v>0</v>
      </c>
      <c r="H18" s="783">
        <f t="shared" si="3"/>
        <v>0</v>
      </c>
      <c r="I18" s="783">
        <f t="shared" si="3"/>
        <v>0</v>
      </c>
      <c r="J18" s="783">
        <f t="shared" si="3"/>
        <v>0</v>
      </c>
      <c r="K18" s="783">
        <f t="shared" si="3"/>
        <v>0</v>
      </c>
      <c r="L18" s="783">
        <f t="shared" si="3"/>
        <v>0</v>
      </c>
      <c r="M18" s="783">
        <f t="shared" si="3"/>
        <v>0</v>
      </c>
      <c r="N18" s="783">
        <f t="shared" si="3"/>
        <v>0</v>
      </c>
      <c r="O18" s="784">
        <f t="shared" si="3"/>
        <v>0</v>
      </c>
      <c r="P18" s="785">
        <f>IFERROR(LOOKUP(P11,$B$33:$B$44,$F$33:$F$44),0)</f>
        <v>0</v>
      </c>
      <c r="Q18" s="783">
        <f t="shared" si="3"/>
        <v>0</v>
      </c>
      <c r="R18" s="783">
        <f t="shared" si="3"/>
        <v>0</v>
      </c>
      <c r="S18" s="783">
        <f t="shared" si="3"/>
        <v>0</v>
      </c>
      <c r="T18" s="783">
        <f t="shared" si="3"/>
        <v>0</v>
      </c>
      <c r="U18" s="783">
        <f t="shared" si="3"/>
        <v>0</v>
      </c>
      <c r="V18" s="783">
        <f t="shared" si="3"/>
        <v>0</v>
      </c>
      <c r="W18" s="783">
        <f t="shared" si="3"/>
        <v>0</v>
      </c>
      <c r="X18" s="783">
        <f t="shared" si="3"/>
        <v>0</v>
      </c>
      <c r="Y18" s="783">
        <f t="shared" si="3"/>
        <v>0</v>
      </c>
      <c r="Z18" s="783">
        <f t="shared" si="3"/>
        <v>0</v>
      </c>
      <c r="AA18" s="783">
        <f t="shared" si="3"/>
        <v>0</v>
      </c>
    </row>
    <row r="19" spans="1:27" ht="12" customHeight="1">
      <c r="B19" s="336" t="s">
        <v>596</v>
      </c>
      <c r="C19" s="786"/>
      <c r="D19" s="785">
        <f>IFERROR(LOOKUP(D11,$B$33:$B$44,$G$33:$G$44),0)</f>
        <v>0</v>
      </c>
      <c r="E19" s="783">
        <f t="shared" ref="E19:AA19" si="4">LOOKUP(E11, $B$33:$B$44, $G$33:$G$44)</f>
        <v>0</v>
      </c>
      <c r="F19" s="783">
        <f t="shared" si="4"/>
        <v>0</v>
      </c>
      <c r="G19" s="783">
        <f t="shared" si="4"/>
        <v>0</v>
      </c>
      <c r="H19" s="783">
        <f t="shared" si="4"/>
        <v>0</v>
      </c>
      <c r="I19" s="783">
        <f t="shared" si="4"/>
        <v>0</v>
      </c>
      <c r="J19" s="783">
        <f t="shared" si="4"/>
        <v>0</v>
      </c>
      <c r="K19" s="783">
        <f t="shared" si="4"/>
        <v>0</v>
      </c>
      <c r="L19" s="783">
        <f t="shared" si="4"/>
        <v>0</v>
      </c>
      <c r="M19" s="783">
        <f t="shared" si="4"/>
        <v>0</v>
      </c>
      <c r="N19" s="783">
        <f t="shared" si="4"/>
        <v>0</v>
      </c>
      <c r="O19" s="784">
        <f t="shared" si="4"/>
        <v>0</v>
      </c>
      <c r="P19" s="785">
        <f>IFERROR(LOOKUP(P11,$B$33:$B$44,$G$33:$G$44),0)</f>
        <v>0</v>
      </c>
      <c r="Q19" s="783">
        <f t="shared" si="4"/>
        <v>0</v>
      </c>
      <c r="R19" s="783">
        <f t="shared" si="4"/>
        <v>0</v>
      </c>
      <c r="S19" s="783">
        <f t="shared" si="4"/>
        <v>0</v>
      </c>
      <c r="T19" s="783">
        <f t="shared" si="4"/>
        <v>0</v>
      </c>
      <c r="U19" s="783">
        <f t="shared" si="4"/>
        <v>0</v>
      </c>
      <c r="V19" s="783">
        <f t="shared" si="4"/>
        <v>0</v>
      </c>
      <c r="W19" s="783">
        <f t="shared" si="4"/>
        <v>0</v>
      </c>
      <c r="X19" s="783">
        <f t="shared" si="4"/>
        <v>0</v>
      </c>
      <c r="Y19" s="783">
        <f t="shared" si="4"/>
        <v>0</v>
      </c>
      <c r="Z19" s="783">
        <f t="shared" si="4"/>
        <v>0</v>
      </c>
      <c r="AA19" s="783">
        <f t="shared" si="4"/>
        <v>0</v>
      </c>
    </row>
    <row r="20" spans="1:27" ht="12" customHeight="1">
      <c r="B20" s="336" t="s">
        <v>595</v>
      </c>
      <c r="C20" s="786"/>
      <c r="D20" s="785">
        <f>IFERROR(LOOKUP(D11,$B$33:$B$44,$H$33:$H$44),0)</f>
        <v>0</v>
      </c>
      <c r="E20" s="783">
        <f t="shared" ref="E20:AA20" si="5">LOOKUP(E11, $B$33:$B$44, $H$33:$H$44)</f>
        <v>0</v>
      </c>
      <c r="F20" s="783">
        <f t="shared" si="5"/>
        <v>0</v>
      </c>
      <c r="G20" s="783">
        <f t="shared" si="5"/>
        <v>0</v>
      </c>
      <c r="H20" s="783">
        <f t="shared" si="5"/>
        <v>0</v>
      </c>
      <c r="I20" s="783">
        <f t="shared" si="5"/>
        <v>0</v>
      </c>
      <c r="J20" s="783">
        <f t="shared" si="5"/>
        <v>0</v>
      </c>
      <c r="K20" s="783">
        <f t="shared" si="5"/>
        <v>0</v>
      </c>
      <c r="L20" s="783">
        <f t="shared" si="5"/>
        <v>0</v>
      </c>
      <c r="M20" s="783">
        <f t="shared" si="5"/>
        <v>0</v>
      </c>
      <c r="N20" s="783">
        <f t="shared" si="5"/>
        <v>0</v>
      </c>
      <c r="O20" s="784">
        <f t="shared" si="5"/>
        <v>0</v>
      </c>
      <c r="P20" s="785">
        <f>IFERROR(LOOKUP(P11,$B$33:$B$44,$H$33:$H$44),0)</f>
        <v>0</v>
      </c>
      <c r="Q20" s="783">
        <f t="shared" si="5"/>
        <v>0</v>
      </c>
      <c r="R20" s="783">
        <f t="shared" si="5"/>
        <v>0</v>
      </c>
      <c r="S20" s="783">
        <f t="shared" si="5"/>
        <v>0</v>
      </c>
      <c r="T20" s="783">
        <f t="shared" si="5"/>
        <v>0</v>
      </c>
      <c r="U20" s="783">
        <f t="shared" si="5"/>
        <v>0</v>
      </c>
      <c r="V20" s="783">
        <f t="shared" si="5"/>
        <v>0</v>
      </c>
      <c r="W20" s="783">
        <f t="shared" si="5"/>
        <v>0</v>
      </c>
      <c r="X20" s="783">
        <f t="shared" si="5"/>
        <v>0</v>
      </c>
      <c r="Y20" s="783">
        <f t="shared" si="5"/>
        <v>0</v>
      </c>
      <c r="Z20" s="783">
        <f t="shared" si="5"/>
        <v>0</v>
      </c>
      <c r="AA20" s="783">
        <f t="shared" si="5"/>
        <v>0</v>
      </c>
    </row>
    <row r="21" spans="1:27" ht="12" customHeight="1">
      <c r="B21" s="445" t="s">
        <v>560</v>
      </c>
      <c r="C21" s="786"/>
      <c r="D21" s="785"/>
      <c r="E21" s="783"/>
      <c r="F21" s="783"/>
      <c r="G21" s="783"/>
      <c r="H21" s="783"/>
      <c r="I21" s="783"/>
      <c r="J21" s="783"/>
      <c r="K21" s="783"/>
      <c r="L21" s="783"/>
      <c r="M21" s="783"/>
      <c r="N21" s="783"/>
      <c r="O21" s="784"/>
      <c r="P21" s="785"/>
      <c r="Q21" s="783"/>
      <c r="R21" s="783"/>
      <c r="S21" s="783"/>
      <c r="T21" s="783"/>
      <c r="U21" s="783"/>
      <c r="V21" s="783"/>
      <c r="W21" s="783"/>
      <c r="X21" s="783"/>
      <c r="Y21" s="783"/>
      <c r="Z21" s="783"/>
      <c r="AA21" s="783"/>
    </row>
    <row r="22" spans="1:27" ht="12" customHeight="1">
      <c r="B22" s="336" t="s">
        <v>597</v>
      </c>
      <c r="C22" s="786"/>
      <c r="D22" s="785">
        <f>IFERROR(LOOKUP(D11,$B$33:$B$44,$I$33:$I$44),0)</f>
        <v>0</v>
      </c>
      <c r="E22" s="783">
        <f t="shared" ref="E22:AA22" si="6">LOOKUP(E11, $B$33:$B$44, $I$33:$I$44)</f>
        <v>0</v>
      </c>
      <c r="F22" s="783">
        <f t="shared" si="6"/>
        <v>0</v>
      </c>
      <c r="G22" s="783">
        <f t="shared" si="6"/>
        <v>0</v>
      </c>
      <c r="H22" s="783">
        <f t="shared" si="6"/>
        <v>0</v>
      </c>
      <c r="I22" s="783">
        <f t="shared" si="6"/>
        <v>0</v>
      </c>
      <c r="J22" s="783">
        <f t="shared" si="6"/>
        <v>0</v>
      </c>
      <c r="K22" s="783">
        <f t="shared" si="6"/>
        <v>0</v>
      </c>
      <c r="L22" s="783">
        <f t="shared" si="6"/>
        <v>0</v>
      </c>
      <c r="M22" s="783">
        <f t="shared" si="6"/>
        <v>0</v>
      </c>
      <c r="N22" s="783">
        <f t="shared" si="6"/>
        <v>0</v>
      </c>
      <c r="O22" s="784">
        <f t="shared" si="6"/>
        <v>0</v>
      </c>
      <c r="P22" s="785">
        <f>IFERROR(LOOKUP(P11,$B$33:$B$44,$I$33:$I$44),0)</f>
        <v>0</v>
      </c>
      <c r="Q22" s="783">
        <f t="shared" si="6"/>
        <v>0</v>
      </c>
      <c r="R22" s="783">
        <f t="shared" si="6"/>
        <v>0</v>
      </c>
      <c r="S22" s="783">
        <f t="shared" si="6"/>
        <v>0</v>
      </c>
      <c r="T22" s="783">
        <f t="shared" si="6"/>
        <v>0</v>
      </c>
      <c r="U22" s="783">
        <f t="shared" si="6"/>
        <v>0</v>
      </c>
      <c r="V22" s="783">
        <f t="shared" si="6"/>
        <v>0</v>
      </c>
      <c r="W22" s="783">
        <f t="shared" si="6"/>
        <v>0</v>
      </c>
      <c r="X22" s="783">
        <f t="shared" si="6"/>
        <v>0</v>
      </c>
      <c r="Y22" s="783">
        <f t="shared" si="6"/>
        <v>0</v>
      </c>
      <c r="Z22" s="783">
        <f t="shared" si="6"/>
        <v>0</v>
      </c>
      <c r="AA22" s="783">
        <f t="shared" si="6"/>
        <v>0</v>
      </c>
    </row>
    <row r="23" spans="1:27" ht="12" customHeight="1">
      <c r="B23" s="336" t="s">
        <v>598</v>
      </c>
      <c r="C23" s="786"/>
      <c r="D23" s="785">
        <f>IFERROR(LOOKUP(D11,$B$33:$B$44,$J$33:$J$44),0)</f>
        <v>0</v>
      </c>
      <c r="E23" s="783">
        <f t="shared" ref="E23:AA23" si="7">LOOKUP(E11, $B$33:$B$44, $J$33:$J$44)</f>
        <v>0</v>
      </c>
      <c r="F23" s="783">
        <f t="shared" si="7"/>
        <v>0</v>
      </c>
      <c r="G23" s="783">
        <f t="shared" si="7"/>
        <v>0</v>
      </c>
      <c r="H23" s="783">
        <f t="shared" si="7"/>
        <v>0</v>
      </c>
      <c r="I23" s="783">
        <f t="shared" si="7"/>
        <v>0</v>
      </c>
      <c r="J23" s="783">
        <f t="shared" si="7"/>
        <v>0</v>
      </c>
      <c r="K23" s="783">
        <f t="shared" si="7"/>
        <v>0</v>
      </c>
      <c r="L23" s="783">
        <f t="shared" si="7"/>
        <v>0</v>
      </c>
      <c r="M23" s="783">
        <f t="shared" si="7"/>
        <v>0</v>
      </c>
      <c r="N23" s="783">
        <f t="shared" si="7"/>
        <v>0</v>
      </c>
      <c r="O23" s="784">
        <f t="shared" si="7"/>
        <v>0</v>
      </c>
      <c r="P23" s="785">
        <f>IFERROR(LOOKUP(P11,$B$33:$B$44,$J$33:$J$44),0)</f>
        <v>0</v>
      </c>
      <c r="Q23" s="783">
        <f t="shared" si="7"/>
        <v>0</v>
      </c>
      <c r="R23" s="783">
        <f t="shared" si="7"/>
        <v>0</v>
      </c>
      <c r="S23" s="783">
        <f t="shared" si="7"/>
        <v>0</v>
      </c>
      <c r="T23" s="783">
        <f t="shared" si="7"/>
        <v>0</v>
      </c>
      <c r="U23" s="783">
        <f t="shared" si="7"/>
        <v>0</v>
      </c>
      <c r="V23" s="783">
        <f t="shared" si="7"/>
        <v>0</v>
      </c>
      <c r="W23" s="783">
        <f t="shared" si="7"/>
        <v>0</v>
      </c>
      <c r="X23" s="783">
        <f t="shared" si="7"/>
        <v>0</v>
      </c>
      <c r="Y23" s="783">
        <f t="shared" si="7"/>
        <v>0</v>
      </c>
      <c r="Z23" s="783">
        <f t="shared" si="7"/>
        <v>0</v>
      </c>
      <c r="AA23" s="783">
        <f t="shared" si="7"/>
        <v>0</v>
      </c>
    </row>
    <row r="24" spans="1:27" ht="12" customHeight="1">
      <c r="B24" s="336" t="s">
        <v>599</v>
      </c>
      <c r="C24" s="786"/>
      <c r="D24" s="785">
        <f>IFERROR(LOOKUP(D11,$B$33:$B$44,$K$33:$K$44),0)</f>
        <v>0</v>
      </c>
      <c r="E24" s="783">
        <f t="shared" ref="E24:AA24" si="8">LOOKUP(E11, $B$33:$B$44, $K$33:$K$44)</f>
        <v>0</v>
      </c>
      <c r="F24" s="783">
        <f t="shared" si="8"/>
        <v>0</v>
      </c>
      <c r="G24" s="783">
        <f t="shared" si="8"/>
        <v>0</v>
      </c>
      <c r="H24" s="783">
        <f t="shared" si="8"/>
        <v>0</v>
      </c>
      <c r="I24" s="783">
        <f t="shared" si="8"/>
        <v>0</v>
      </c>
      <c r="J24" s="783">
        <f t="shared" si="8"/>
        <v>0</v>
      </c>
      <c r="K24" s="783">
        <f t="shared" si="8"/>
        <v>0</v>
      </c>
      <c r="L24" s="783">
        <f t="shared" si="8"/>
        <v>0</v>
      </c>
      <c r="M24" s="783">
        <f t="shared" si="8"/>
        <v>0</v>
      </c>
      <c r="N24" s="783">
        <f t="shared" si="8"/>
        <v>0</v>
      </c>
      <c r="O24" s="784">
        <f t="shared" si="8"/>
        <v>0</v>
      </c>
      <c r="P24" s="785">
        <f>IFERROR(LOOKUP(P11,$B$33:$B$44,$K$33:$K$44),0)</f>
        <v>0</v>
      </c>
      <c r="Q24" s="783">
        <f t="shared" si="8"/>
        <v>0</v>
      </c>
      <c r="R24" s="783">
        <f t="shared" si="8"/>
        <v>0</v>
      </c>
      <c r="S24" s="783">
        <f t="shared" si="8"/>
        <v>0</v>
      </c>
      <c r="T24" s="783">
        <f t="shared" si="8"/>
        <v>0</v>
      </c>
      <c r="U24" s="783">
        <f t="shared" si="8"/>
        <v>0</v>
      </c>
      <c r="V24" s="783">
        <f t="shared" si="8"/>
        <v>0</v>
      </c>
      <c r="W24" s="783">
        <f t="shared" si="8"/>
        <v>0</v>
      </c>
      <c r="X24" s="783">
        <f t="shared" si="8"/>
        <v>0</v>
      </c>
      <c r="Y24" s="783">
        <f t="shared" si="8"/>
        <v>0</v>
      </c>
      <c r="Z24" s="783">
        <f t="shared" si="8"/>
        <v>0</v>
      </c>
      <c r="AA24" s="783">
        <f t="shared" si="8"/>
        <v>0</v>
      </c>
    </row>
    <row r="25" spans="1:27" ht="12" customHeight="1">
      <c r="B25" s="336" t="s">
        <v>600</v>
      </c>
      <c r="C25" s="786"/>
      <c r="D25" s="785">
        <f>IFERROR(LOOKUP(D11,$B$33:$B$44,$L$33:$L$44),0)</f>
        <v>0</v>
      </c>
      <c r="E25" s="783">
        <f t="shared" ref="E25:AA25" si="9">LOOKUP(E11, $B$33:$B$44, $L$33:$L$44)</f>
        <v>0</v>
      </c>
      <c r="F25" s="783">
        <f t="shared" si="9"/>
        <v>0</v>
      </c>
      <c r="G25" s="783">
        <f t="shared" si="9"/>
        <v>0</v>
      </c>
      <c r="H25" s="783">
        <f t="shared" si="9"/>
        <v>0</v>
      </c>
      <c r="I25" s="783">
        <f t="shared" si="9"/>
        <v>0</v>
      </c>
      <c r="J25" s="783">
        <f t="shared" si="9"/>
        <v>0</v>
      </c>
      <c r="K25" s="783">
        <f t="shared" si="9"/>
        <v>0</v>
      </c>
      <c r="L25" s="783">
        <f t="shared" si="9"/>
        <v>0</v>
      </c>
      <c r="M25" s="783">
        <f t="shared" si="9"/>
        <v>0</v>
      </c>
      <c r="N25" s="783">
        <f t="shared" si="9"/>
        <v>0</v>
      </c>
      <c r="O25" s="784">
        <f t="shared" si="9"/>
        <v>0</v>
      </c>
      <c r="P25" s="785">
        <f>IFERROR(LOOKUP(P11,$B$33:$B$44,$L$33:$L$44),0)</f>
        <v>0</v>
      </c>
      <c r="Q25" s="783">
        <f t="shared" si="9"/>
        <v>0</v>
      </c>
      <c r="R25" s="783">
        <f t="shared" si="9"/>
        <v>0</v>
      </c>
      <c r="S25" s="783">
        <f t="shared" si="9"/>
        <v>0</v>
      </c>
      <c r="T25" s="783">
        <f t="shared" si="9"/>
        <v>0</v>
      </c>
      <c r="U25" s="783">
        <f t="shared" si="9"/>
        <v>0</v>
      </c>
      <c r="V25" s="783">
        <f t="shared" si="9"/>
        <v>0</v>
      </c>
      <c r="W25" s="783">
        <f t="shared" si="9"/>
        <v>0</v>
      </c>
      <c r="X25" s="783">
        <f t="shared" si="9"/>
        <v>0</v>
      </c>
      <c r="Y25" s="783">
        <f t="shared" si="9"/>
        <v>0</v>
      </c>
      <c r="Z25" s="783">
        <f t="shared" si="9"/>
        <v>0</v>
      </c>
      <c r="AA25" s="783">
        <f t="shared" si="9"/>
        <v>0</v>
      </c>
    </row>
    <row r="26" spans="1:27" ht="12" customHeight="1">
      <c r="A26" s="67"/>
      <c r="B26" s="439" t="s">
        <v>49</v>
      </c>
      <c r="C26" s="787"/>
      <c r="D26" s="788">
        <f t="shared" ref="D26:AA26" si="10">SUM(D13:D25)</f>
        <v>84.933333333333337</v>
      </c>
      <c r="E26" s="789">
        <f t="shared" si="10"/>
        <v>84.933333333333337</v>
      </c>
      <c r="F26" s="789">
        <f t="shared" si="10"/>
        <v>84.933333333333337</v>
      </c>
      <c r="G26" s="789">
        <f t="shared" si="10"/>
        <v>84.933333333333337</v>
      </c>
      <c r="H26" s="789">
        <f t="shared" si="10"/>
        <v>0</v>
      </c>
      <c r="I26" s="789">
        <f t="shared" si="10"/>
        <v>0</v>
      </c>
      <c r="J26" s="789">
        <f t="shared" si="10"/>
        <v>0</v>
      </c>
      <c r="K26" s="789">
        <f t="shared" si="10"/>
        <v>0</v>
      </c>
      <c r="L26" s="789">
        <f t="shared" si="10"/>
        <v>0</v>
      </c>
      <c r="M26" s="789">
        <f t="shared" si="10"/>
        <v>0</v>
      </c>
      <c r="N26" s="789">
        <f t="shared" si="10"/>
        <v>84.933333333333337</v>
      </c>
      <c r="O26" s="790">
        <f t="shared" si="10"/>
        <v>84.933333333333337</v>
      </c>
      <c r="P26" s="788">
        <f t="shared" si="10"/>
        <v>84.933333333333337</v>
      </c>
      <c r="Q26" s="789">
        <f t="shared" si="10"/>
        <v>84.933333333333337</v>
      </c>
      <c r="R26" s="789">
        <f t="shared" si="10"/>
        <v>84.933333333333337</v>
      </c>
      <c r="S26" s="789">
        <f t="shared" si="10"/>
        <v>84.933333333333337</v>
      </c>
      <c r="T26" s="789">
        <f t="shared" si="10"/>
        <v>0</v>
      </c>
      <c r="U26" s="789">
        <f t="shared" si="10"/>
        <v>0</v>
      </c>
      <c r="V26" s="789">
        <f t="shared" si="10"/>
        <v>0</v>
      </c>
      <c r="W26" s="789">
        <f t="shared" si="10"/>
        <v>0</v>
      </c>
      <c r="X26" s="789">
        <f t="shared" si="10"/>
        <v>0</v>
      </c>
      <c r="Y26" s="789">
        <f t="shared" si="10"/>
        <v>0</v>
      </c>
      <c r="Z26" s="789">
        <f t="shared" si="10"/>
        <v>84.933333333333337</v>
      </c>
      <c r="AA26" s="789">
        <f t="shared" si="10"/>
        <v>84.933333333333337</v>
      </c>
    </row>
    <row r="27" spans="1:27" ht="12" customHeight="1">
      <c r="C27" s="791"/>
      <c r="D27" s="284"/>
      <c r="E27" s="284"/>
      <c r="F27" s="284"/>
      <c r="G27" s="284"/>
      <c r="H27" s="284"/>
      <c r="I27" s="284"/>
      <c r="J27" s="284"/>
      <c r="L27" s="284"/>
      <c r="M27" s="284"/>
      <c r="N27" s="284"/>
      <c r="O27" s="284"/>
      <c r="P27" s="284"/>
      <c r="Q27" s="284"/>
      <c r="R27" s="284"/>
      <c r="S27" s="284"/>
      <c r="T27" s="284"/>
      <c r="U27" s="284"/>
      <c r="V27" s="284"/>
      <c r="W27" s="284"/>
      <c r="X27" s="284"/>
      <c r="Y27" s="284"/>
      <c r="Z27" s="284"/>
      <c r="AA27" s="284"/>
    </row>
    <row r="28" spans="1:27" ht="12" customHeight="1">
      <c r="C28" s="765"/>
      <c r="P28" s="808"/>
    </row>
    <row r="29" spans="1:27" ht="12" customHeight="1">
      <c r="C29" s="765"/>
    </row>
    <row r="30" spans="1:27" ht="12" hidden="1" customHeight="1">
      <c r="B30" s="280" t="s">
        <v>615</v>
      </c>
      <c r="C30" s="765"/>
      <c r="D30" s="1340"/>
      <c r="E30" s="1340"/>
      <c r="F30" s="1340"/>
      <c r="G30" s="1340"/>
      <c r="H30" s="1340"/>
      <c r="I30" s="1340"/>
      <c r="J30" s="1340"/>
      <c r="K30" s="1340"/>
      <c r="L30" s="1340"/>
    </row>
    <row r="31" spans="1:27" ht="12" hidden="1" customHeight="1">
      <c r="B31" s="1340"/>
      <c r="C31" s="809" t="s">
        <v>478</v>
      </c>
      <c r="D31" s="810"/>
      <c r="E31" s="809"/>
      <c r="F31" s="561" t="s">
        <v>533</v>
      </c>
      <c r="G31" s="562"/>
      <c r="H31" s="562"/>
      <c r="I31" s="811" t="s">
        <v>560</v>
      </c>
      <c r="J31" s="812"/>
      <c r="K31" s="812"/>
      <c r="L31" s="812"/>
    </row>
    <row r="32" spans="1:27" ht="12" hidden="1" customHeight="1">
      <c r="B32" s="813" t="s">
        <v>581</v>
      </c>
      <c r="C32" s="813" t="s">
        <v>593</v>
      </c>
      <c r="D32" s="813" t="s">
        <v>616</v>
      </c>
      <c r="E32" s="813" t="s">
        <v>595</v>
      </c>
      <c r="F32" s="813" t="s">
        <v>593</v>
      </c>
      <c r="G32" s="813" t="s">
        <v>616</v>
      </c>
      <c r="H32" s="813" t="s">
        <v>595</v>
      </c>
      <c r="I32" s="813" t="s">
        <v>593</v>
      </c>
      <c r="J32" s="813" t="s">
        <v>617</v>
      </c>
      <c r="K32" s="813" t="s">
        <v>618</v>
      </c>
      <c r="L32" s="438" t="s">
        <v>595</v>
      </c>
    </row>
    <row r="33" spans="1:13" ht="12" hidden="1" customHeight="1">
      <c r="B33" s="311">
        <v>1</v>
      </c>
      <c r="C33" s="346">
        <f>SUMPRODUCT('REV &amp; COGS'!B35:B48, 'REV &amp; COGS'!E35:E48)/6</f>
        <v>0</v>
      </c>
      <c r="D33" s="346">
        <f>SUMPRODUCT('REV &amp; COGS'!C35:C48, 'REV &amp; COGS'!E35:E48)/6</f>
        <v>0</v>
      </c>
      <c r="E33" s="814">
        <f>'REV &amp; COGS'!P31/6</f>
        <v>0</v>
      </c>
      <c r="F33" s="815"/>
      <c r="G33" s="815"/>
      <c r="H33" s="814">
        <f>'REV &amp; COGS'!O87/6</f>
        <v>0</v>
      </c>
      <c r="I33" s="816">
        <f>SUMPRODUCT('REV &amp; COGS'!B93:B106,'REV &amp; COGS'!I93:I106)/12</f>
        <v>0</v>
      </c>
      <c r="J33" s="816">
        <f>SUMPRODUCT('REV &amp; COGS'!C93:C106,'REV &amp; COGS'!I93:I106)/12</f>
        <v>0</v>
      </c>
      <c r="K33" s="816">
        <f>SUMPRODUCT('REV &amp; COGS'!E93:E106,'REV &amp; COGS'!I93:I106)/12</f>
        <v>0</v>
      </c>
      <c r="L33" s="816">
        <f>SUMPRODUCT('REV &amp; COGS'!G93:G106,'REV &amp; COGS'!I93:I106)/12</f>
        <v>0</v>
      </c>
      <c r="M33" s="1468"/>
    </row>
    <row r="34" spans="1:13" ht="12" hidden="1" customHeight="1">
      <c r="B34" s="311">
        <v>2</v>
      </c>
      <c r="C34" s="814">
        <f t="shared" ref="C34:E35" si="11">C33</f>
        <v>0</v>
      </c>
      <c r="D34" s="814">
        <f t="shared" si="11"/>
        <v>0</v>
      </c>
      <c r="E34" s="814">
        <f t="shared" si="11"/>
        <v>0</v>
      </c>
      <c r="F34" s="814"/>
      <c r="G34" s="814"/>
      <c r="H34" s="814">
        <f t="shared" ref="H34:L44" si="12">H33</f>
        <v>0</v>
      </c>
      <c r="I34" s="814">
        <f t="shared" si="12"/>
        <v>0</v>
      </c>
      <c r="J34" s="814">
        <f t="shared" si="12"/>
        <v>0</v>
      </c>
      <c r="K34" s="814">
        <f t="shared" si="12"/>
        <v>0</v>
      </c>
      <c r="L34" s="346">
        <f t="shared" si="12"/>
        <v>0</v>
      </c>
    </row>
    <row r="35" spans="1:13" ht="12" hidden="1" customHeight="1">
      <c r="B35" s="311">
        <v>3</v>
      </c>
      <c r="C35" s="814">
        <f t="shared" si="11"/>
        <v>0</v>
      </c>
      <c r="D35" s="814">
        <f t="shared" si="11"/>
        <v>0</v>
      </c>
      <c r="E35" s="814">
        <f t="shared" si="11"/>
        <v>0</v>
      </c>
      <c r="F35" s="814"/>
      <c r="G35" s="814"/>
      <c r="H35" s="814">
        <f t="shared" si="12"/>
        <v>0</v>
      </c>
      <c r="I35" s="814">
        <f t="shared" si="12"/>
        <v>0</v>
      </c>
      <c r="J35" s="814">
        <f t="shared" si="12"/>
        <v>0</v>
      </c>
      <c r="K35" s="814">
        <f t="shared" si="12"/>
        <v>0</v>
      </c>
      <c r="L35" s="346">
        <f t="shared" si="12"/>
        <v>0</v>
      </c>
    </row>
    <row r="36" spans="1:13" ht="12" hidden="1" customHeight="1">
      <c r="B36" s="311">
        <v>4</v>
      </c>
      <c r="C36" s="814">
        <f>SUMPRODUCT('REV &amp; COGS'!B17:B30, 'REV &amp; COGS'!E17:E30)/6</f>
        <v>12.133333333333333</v>
      </c>
      <c r="D36" s="814">
        <f>SUMPRODUCT('REV &amp; COGS'!C17:C30, 'REV &amp; COGS'!E17:E30)/6</f>
        <v>72.8</v>
      </c>
      <c r="E36" s="814">
        <f>'REV &amp; COGS'!P49/6</f>
        <v>0</v>
      </c>
      <c r="F36" s="814">
        <f>SUMPRODUCT('REV &amp; COGS'!B55:B68,'REV &amp; COGS'!E55:E68)</f>
        <v>0</v>
      </c>
      <c r="G36" s="814">
        <f>SUMPRODUCT('REV &amp; COGS'!C55:C68,'REV &amp; COGS'!E55:E68)</f>
        <v>0</v>
      </c>
      <c r="H36" s="814">
        <f>'REV &amp; COGS'!O69/6</f>
        <v>0</v>
      </c>
      <c r="I36" s="814">
        <f t="shared" si="12"/>
        <v>0</v>
      </c>
      <c r="J36" s="814">
        <f t="shared" si="12"/>
        <v>0</v>
      </c>
      <c r="K36" s="814">
        <f t="shared" si="12"/>
        <v>0</v>
      </c>
      <c r="L36" s="346">
        <f t="shared" si="12"/>
        <v>0</v>
      </c>
    </row>
    <row r="37" spans="1:13" s="913" customFormat="1" ht="12" hidden="1" customHeight="1">
      <c r="A37" s="914"/>
      <c r="B37" s="311">
        <v>5</v>
      </c>
      <c r="C37" s="814">
        <f t="shared" ref="C37:E41" si="13">C36</f>
        <v>12.133333333333333</v>
      </c>
      <c r="D37" s="814">
        <f t="shared" si="13"/>
        <v>72.8</v>
      </c>
      <c r="E37" s="814">
        <f t="shared" si="13"/>
        <v>0</v>
      </c>
      <c r="F37" s="814"/>
      <c r="G37" s="814"/>
      <c r="H37" s="814">
        <f>H36</f>
        <v>0</v>
      </c>
      <c r="I37" s="814">
        <f t="shared" si="12"/>
        <v>0</v>
      </c>
      <c r="J37" s="814">
        <f t="shared" si="12"/>
        <v>0</v>
      </c>
      <c r="K37" s="814">
        <f t="shared" si="12"/>
        <v>0</v>
      </c>
      <c r="L37" s="346">
        <f t="shared" si="12"/>
        <v>0</v>
      </c>
    </row>
    <row r="38" spans="1:13" s="913" customFormat="1" ht="12" hidden="1" customHeight="1">
      <c r="A38" s="914"/>
      <c r="B38" s="311">
        <v>6</v>
      </c>
      <c r="C38" s="814">
        <f t="shared" si="13"/>
        <v>12.133333333333333</v>
      </c>
      <c r="D38" s="814">
        <f t="shared" si="13"/>
        <v>72.8</v>
      </c>
      <c r="E38" s="814">
        <f t="shared" si="13"/>
        <v>0</v>
      </c>
      <c r="F38" s="814"/>
      <c r="G38" s="814"/>
      <c r="H38" s="814">
        <f>H37</f>
        <v>0</v>
      </c>
      <c r="I38" s="814">
        <f t="shared" si="12"/>
        <v>0</v>
      </c>
      <c r="J38" s="814">
        <f t="shared" si="12"/>
        <v>0</v>
      </c>
      <c r="K38" s="814">
        <f t="shared" si="12"/>
        <v>0</v>
      </c>
      <c r="L38" s="346">
        <f t="shared" si="12"/>
        <v>0</v>
      </c>
    </row>
    <row r="39" spans="1:13" s="913" customFormat="1" ht="12" hidden="1" customHeight="1">
      <c r="A39" s="914"/>
      <c r="B39" s="311">
        <v>7</v>
      </c>
      <c r="C39" s="814">
        <f t="shared" si="13"/>
        <v>12.133333333333333</v>
      </c>
      <c r="D39" s="814">
        <f t="shared" si="13"/>
        <v>72.8</v>
      </c>
      <c r="E39" s="814">
        <f>E36</f>
        <v>0</v>
      </c>
      <c r="F39" s="814"/>
      <c r="G39" s="814"/>
      <c r="H39" s="814">
        <f>H36</f>
        <v>0</v>
      </c>
      <c r="I39" s="814">
        <f t="shared" si="12"/>
        <v>0</v>
      </c>
      <c r="J39" s="814">
        <f t="shared" si="12"/>
        <v>0</v>
      </c>
      <c r="K39" s="814">
        <f t="shared" si="12"/>
        <v>0</v>
      </c>
      <c r="L39" s="346">
        <f t="shared" si="12"/>
        <v>0</v>
      </c>
    </row>
    <row r="40" spans="1:13" s="913" customFormat="1" ht="12" hidden="1" customHeight="1">
      <c r="A40" s="914"/>
      <c r="B40" s="311">
        <v>8</v>
      </c>
      <c r="C40" s="814">
        <f t="shared" si="13"/>
        <v>12.133333333333333</v>
      </c>
      <c r="D40" s="814">
        <f t="shared" si="13"/>
        <v>72.8</v>
      </c>
      <c r="E40" s="814">
        <f>E36</f>
        <v>0</v>
      </c>
      <c r="F40" s="814"/>
      <c r="G40" s="814"/>
      <c r="H40" s="814">
        <f>H36</f>
        <v>0</v>
      </c>
      <c r="I40" s="814">
        <f t="shared" si="12"/>
        <v>0</v>
      </c>
      <c r="J40" s="814">
        <f t="shared" si="12"/>
        <v>0</v>
      </c>
      <c r="K40" s="814">
        <f t="shared" si="12"/>
        <v>0</v>
      </c>
      <c r="L40" s="346">
        <f t="shared" si="12"/>
        <v>0</v>
      </c>
    </row>
    <row r="41" spans="1:13" s="913" customFormat="1" ht="12" hidden="1" customHeight="1">
      <c r="A41" s="914"/>
      <c r="B41" s="311">
        <v>9</v>
      </c>
      <c r="C41" s="814">
        <f t="shared" si="13"/>
        <v>12.133333333333333</v>
      </c>
      <c r="D41" s="814">
        <f t="shared" si="13"/>
        <v>72.8</v>
      </c>
      <c r="E41" s="814">
        <f>E36</f>
        <v>0</v>
      </c>
      <c r="F41" s="814"/>
      <c r="G41" s="814"/>
      <c r="H41" s="814">
        <f>H36</f>
        <v>0</v>
      </c>
      <c r="I41" s="814">
        <f t="shared" si="12"/>
        <v>0</v>
      </c>
      <c r="J41" s="814">
        <f t="shared" si="12"/>
        <v>0</v>
      </c>
      <c r="K41" s="814">
        <f t="shared" si="12"/>
        <v>0</v>
      </c>
      <c r="L41" s="346">
        <f t="shared" si="12"/>
        <v>0</v>
      </c>
    </row>
    <row r="42" spans="1:13" s="913" customFormat="1" ht="12" hidden="1" customHeight="1">
      <c r="A42" s="914"/>
      <c r="B42" s="311">
        <v>10</v>
      </c>
      <c r="C42" s="814">
        <f>C33</f>
        <v>0</v>
      </c>
      <c r="D42" s="814">
        <f>D33</f>
        <v>0</v>
      </c>
      <c r="E42" s="814">
        <f>E33</f>
        <v>0</v>
      </c>
      <c r="F42" s="346">
        <f>SUMPRODUCT('REV &amp; COGS'!B73:B86,'REV &amp; COGS'!E73:E86)</f>
        <v>0</v>
      </c>
      <c r="G42" s="346">
        <f>SUMPRODUCT('REV &amp; COGS'!C73:C86,'REV &amp; COGS'!E73:E86)</f>
        <v>0</v>
      </c>
      <c r="H42" s="814">
        <f>H33</f>
        <v>0</v>
      </c>
      <c r="I42" s="814">
        <f t="shared" si="12"/>
        <v>0</v>
      </c>
      <c r="J42" s="814">
        <f t="shared" si="12"/>
        <v>0</v>
      </c>
      <c r="K42" s="814">
        <f>K33</f>
        <v>0</v>
      </c>
      <c r="L42" s="346">
        <f>L41</f>
        <v>0</v>
      </c>
    </row>
    <row r="43" spans="1:13" s="913" customFormat="1" ht="12" hidden="1" customHeight="1">
      <c r="A43" s="914"/>
      <c r="B43" s="311">
        <v>11</v>
      </c>
      <c r="C43" s="814">
        <f>C33</f>
        <v>0</v>
      </c>
      <c r="D43" s="814">
        <f>D33</f>
        <v>0</v>
      </c>
      <c r="E43" s="814">
        <f>E42</f>
        <v>0</v>
      </c>
      <c r="F43" s="814"/>
      <c r="G43" s="814"/>
      <c r="H43" s="814">
        <f>H42</f>
        <v>0</v>
      </c>
      <c r="I43" s="814">
        <f t="shared" si="12"/>
        <v>0</v>
      </c>
      <c r="J43" s="814">
        <f t="shared" si="12"/>
        <v>0</v>
      </c>
      <c r="K43" s="814">
        <f>K42</f>
        <v>0</v>
      </c>
      <c r="L43" s="346">
        <f>L42</f>
        <v>0</v>
      </c>
    </row>
    <row r="44" spans="1:13" s="913" customFormat="1" ht="12" hidden="1" customHeight="1">
      <c r="A44" s="914"/>
      <c r="B44" s="311">
        <v>12</v>
      </c>
      <c r="C44" s="814">
        <f>C33</f>
        <v>0</v>
      </c>
      <c r="D44" s="814">
        <f>D33</f>
        <v>0</v>
      </c>
      <c r="E44" s="814">
        <f>E43</f>
        <v>0</v>
      </c>
      <c r="F44" s="814"/>
      <c r="G44" s="814"/>
      <c r="H44" s="814">
        <f>H43</f>
        <v>0</v>
      </c>
      <c r="I44" s="814">
        <f t="shared" si="12"/>
        <v>0</v>
      </c>
      <c r="J44" s="814">
        <f t="shared" si="12"/>
        <v>0</v>
      </c>
      <c r="K44" s="814">
        <f>K43</f>
        <v>0</v>
      </c>
      <c r="L44" s="346">
        <f>L43</f>
        <v>0</v>
      </c>
    </row>
    <row r="45" spans="1:13" s="913" customFormat="1" ht="12" customHeight="1">
      <c r="A45" s="914"/>
      <c r="C45" s="765"/>
    </row>
    <row r="46" spans="1:13" s="913" customFormat="1" ht="12" customHeight="1">
      <c r="A46" s="914"/>
      <c r="C46" s="765"/>
    </row>
    <row r="47" spans="1:13" s="913" customFormat="1" ht="12" customHeight="1">
      <c r="A47" s="914"/>
      <c r="C47" s="765"/>
    </row>
    <row r="48" spans="1:13" s="913" customFormat="1" ht="12" customHeight="1">
      <c r="A48" s="914"/>
      <c r="C48" s="765"/>
    </row>
    <row r="49" spans="1:3" s="913" customFormat="1" ht="12" customHeight="1">
      <c r="A49" s="914"/>
      <c r="C49" s="765"/>
    </row>
    <row r="50" spans="1:3" s="913" customFormat="1" ht="12" customHeight="1">
      <c r="A50" s="914"/>
      <c r="C50" s="765"/>
    </row>
    <row r="51" spans="1:3" s="913" customFormat="1" ht="12" customHeight="1">
      <c r="A51" s="914"/>
      <c r="C51" s="765"/>
    </row>
    <row r="52" spans="1:3" s="913" customFormat="1" ht="12" customHeight="1">
      <c r="A52" s="914"/>
      <c r="C52" s="765"/>
    </row>
    <row r="53" spans="1:3" s="913" customFormat="1" ht="12" customHeight="1">
      <c r="A53" s="914"/>
      <c r="C53" s="765"/>
    </row>
    <row r="54" spans="1:3" s="913" customFormat="1" ht="12" customHeight="1">
      <c r="A54" s="914"/>
      <c r="C54" s="765"/>
    </row>
    <row r="55" spans="1:3" s="913" customFormat="1" ht="12" customHeight="1">
      <c r="A55" s="914"/>
      <c r="C55" s="765"/>
    </row>
    <row r="56" spans="1:3" s="913" customFormat="1" ht="12" customHeight="1">
      <c r="A56" s="914"/>
      <c r="C56" s="765"/>
    </row>
    <row r="57" spans="1:3" s="913" customFormat="1" ht="12" customHeight="1">
      <c r="A57" s="914"/>
      <c r="C57" s="765"/>
    </row>
    <row r="58" spans="1:3" s="913" customFormat="1" ht="12" customHeight="1">
      <c r="A58" s="914"/>
      <c r="C58" s="765"/>
    </row>
    <row r="59" spans="1:3" s="913" customFormat="1" ht="12" customHeight="1">
      <c r="A59" s="914"/>
      <c r="C59" s="765"/>
    </row>
    <row r="60" spans="1:3" s="913" customFormat="1" ht="12" customHeight="1">
      <c r="A60" s="914"/>
      <c r="C60" s="765"/>
    </row>
    <row r="61" spans="1:3" s="913" customFormat="1" ht="12" customHeight="1">
      <c r="A61" s="914"/>
      <c r="C61" s="765"/>
    </row>
    <row r="62" spans="1:3" s="913" customFormat="1" ht="12" customHeight="1">
      <c r="A62" s="914"/>
      <c r="C62" s="765"/>
    </row>
    <row r="63" spans="1:3" s="913" customFormat="1" ht="12" customHeight="1">
      <c r="A63" s="914"/>
      <c r="C63" s="765"/>
    </row>
    <row r="64" spans="1:3" s="913" customFormat="1" ht="12" customHeight="1">
      <c r="A64" s="914"/>
      <c r="C64" s="765"/>
    </row>
    <row r="65" spans="1:3" s="913" customFormat="1" ht="12" customHeight="1">
      <c r="A65" s="914"/>
      <c r="C65" s="765"/>
    </row>
    <row r="66" spans="1:3" s="913" customFormat="1" ht="12" customHeight="1">
      <c r="A66" s="914"/>
      <c r="C66" s="765"/>
    </row>
    <row r="67" spans="1:3" s="913" customFormat="1" ht="12" customHeight="1">
      <c r="A67" s="914"/>
      <c r="C67" s="765"/>
    </row>
    <row r="68" spans="1:3" s="913" customFormat="1" ht="12" customHeight="1">
      <c r="A68" s="914"/>
      <c r="C68" s="765"/>
    </row>
    <row r="69" spans="1:3" s="913" customFormat="1" ht="12" customHeight="1">
      <c r="A69" s="914"/>
      <c r="C69" s="765"/>
    </row>
    <row r="70" spans="1:3" s="913" customFormat="1" ht="12" customHeight="1">
      <c r="A70" s="914"/>
      <c r="C70" s="765"/>
    </row>
    <row r="71" spans="1:3" s="913" customFormat="1" ht="12" customHeight="1">
      <c r="A71" s="914"/>
      <c r="C71" s="765"/>
    </row>
    <row r="72" spans="1:3" s="913" customFormat="1" ht="12" customHeight="1">
      <c r="A72" s="914"/>
      <c r="C72" s="765"/>
    </row>
    <row r="73" spans="1:3" s="913" customFormat="1" ht="12" customHeight="1">
      <c r="A73" s="914"/>
      <c r="C73" s="765"/>
    </row>
    <row r="74" spans="1:3" s="913" customFormat="1" ht="12" customHeight="1">
      <c r="A74" s="914"/>
      <c r="C74" s="765"/>
    </row>
    <row r="75" spans="1:3" s="913" customFormat="1" ht="12" customHeight="1">
      <c r="A75" s="914"/>
      <c r="C75" s="765"/>
    </row>
    <row r="76" spans="1:3" s="913" customFormat="1" ht="12" customHeight="1">
      <c r="A76" s="914"/>
      <c r="C76" s="765"/>
    </row>
    <row r="77" spans="1:3" s="913" customFormat="1" ht="12" customHeight="1">
      <c r="A77" s="914"/>
      <c r="C77" s="765"/>
    </row>
    <row r="78" spans="1:3" s="913" customFormat="1" ht="12" customHeight="1">
      <c r="A78" s="914"/>
      <c r="C78" s="765"/>
    </row>
    <row r="79" spans="1:3" s="913" customFormat="1" ht="12" customHeight="1">
      <c r="A79" s="914"/>
      <c r="C79" s="765"/>
    </row>
    <row r="80" spans="1:3" s="913" customFormat="1" ht="12" customHeight="1">
      <c r="A80" s="914"/>
      <c r="C80" s="765"/>
    </row>
    <row r="81" spans="1:3" s="913" customFormat="1" ht="12" customHeight="1">
      <c r="A81" s="914"/>
      <c r="C81" s="765"/>
    </row>
    <row r="82" spans="1:3" s="913" customFormat="1" ht="12" customHeight="1">
      <c r="A82" s="914"/>
      <c r="C82" s="765"/>
    </row>
    <row r="83" spans="1:3" s="913" customFormat="1" ht="12" customHeight="1">
      <c r="A83" s="914"/>
      <c r="C83" s="765"/>
    </row>
    <row r="84" spans="1:3" s="913" customFormat="1" ht="12" customHeight="1">
      <c r="A84" s="914"/>
      <c r="C84" s="765"/>
    </row>
    <row r="85" spans="1:3" s="913" customFormat="1" ht="12" customHeight="1">
      <c r="A85" s="914"/>
      <c r="C85" s="765"/>
    </row>
    <row r="86" spans="1:3" s="913" customFormat="1" ht="12" customHeight="1">
      <c r="A86" s="914"/>
      <c r="C86" s="765"/>
    </row>
    <row r="87" spans="1:3" s="913" customFormat="1" ht="12" customHeight="1">
      <c r="A87" s="914"/>
      <c r="C87" s="765"/>
    </row>
    <row r="88" spans="1:3" s="913" customFormat="1" ht="12" customHeight="1">
      <c r="A88" s="914"/>
      <c r="C88" s="765"/>
    </row>
    <row r="89" spans="1:3" s="913" customFormat="1" ht="12" customHeight="1">
      <c r="A89" s="914"/>
      <c r="C89" s="765"/>
    </row>
    <row r="90" spans="1:3" s="913" customFormat="1" ht="12" customHeight="1">
      <c r="A90" s="914"/>
      <c r="C90" s="765"/>
    </row>
    <row r="91" spans="1:3" s="913" customFormat="1" ht="12" customHeight="1">
      <c r="A91" s="914"/>
      <c r="C91" s="765"/>
    </row>
    <row r="92" spans="1:3" s="913" customFormat="1" ht="12" customHeight="1">
      <c r="A92" s="914"/>
      <c r="C92" s="765"/>
    </row>
    <row r="93" spans="1:3" s="913" customFormat="1" ht="12" customHeight="1">
      <c r="A93" s="914"/>
      <c r="C93" s="765"/>
    </row>
    <row r="94" spans="1:3" s="913" customFormat="1" ht="12" customHeight="1">
      <c r="A94" s="914"/>
      <c r="C94" s="765"/>
    </row>
    <row r="95" spans="1:3" s="913" customFormat="1" ht="12" customHeight="1">
      <c r="A95" s="914"/>
      <c r="C95" s="765"/>
    </row>
    <row r="96" spans="1:3" s="913" customFormat="1" ht="12" customHeight="1">
      <c r="A96" s="914"/>
      <c r="C96" s="765"/>
    </row>
    <row r="97" spans="1:3" s="913" customFormat="1" ht="12" customHeight="1">
      <c r="A97" s="914"/>
      <c r="C97" s="765"/>
    </row>
    <row r="98" spans="1:3" s="913" customFormat="1" ht="12" customHeight="1">
      <c r="A98" s="914"/>
      <c r="C98" s="765"/>
    </row>
    <row r="99" spans="1:3" s="913" customFormat="1" ht="12" customHeight="1">
      <c r="A99" s="914"/>
      <c r="C99" s="765"/>
    </row>
    <row r="100" spans="1:3" s="913" customFormat="1" ht="12" customHeight="1">
      <c r="A100" s="914"/>
      <c r="C100" s="765"/>
    </row>
    <row r="101" spans="1:3" s="913" customFormat="1" ht="12" customHeight="1">
      <c r="A101" s="914"/>
      <c r="C101" s="765"/>
    </row>
    <row r="102" spans="1:3" s="913" customFormat="1" ht="12" customHeight="1">
      <c r="A102" s="914"/>
      <c r="C102" s="765"/>
    </row>
    <row r="103" spans="1:3" s="913" customFormat="1" ht="12" customHeight="1">
      <c r="A103" s="914"/>
      <c r="C103" s="765"/>
    </row>
    <row r="104" spans="1:3" s="913" customFormat="1" ht="12" customHeight="1">
      <c r="A104" s="914"/>
      <c r="C104" s="765"/>
    </row>
    <row r="105" spans="1:3" s="913" customFormat="1" ht="12" customHeight="1">
      <c r="A105" s="914"/>
      <c r="C105" s="765"/>
    </row>
    <row r="106" spans="1:3" s="913" customFormat="1" ht="12" customHeight="1">
      <c r="A106" s="914"/>
      <c r="C106" s="765"/>
    </row>
    <row r="107" spans="1:3" s="913" customFormat="1" ht="12" customHeight="1">
      <c r="A107" s="914"/>
      <c r="C107" s="765"/>
    </row>
    <row r="108" spans="1:3" s="913" customFormat="1" ht="12" customHeight="1">
      <c r="A108" s="914"/>
      <c r="C108" s="765"/>
    </row>
    <row r="109" spans="1:3" s="913" customFormat="1" ht="12" customHeight="1">
      <c r="A109" s="914"/>
      <c r="C109" s="765"/>
    </row>
    <row r="110" spans="1:3" s="913" customFormat="1" ht="12" customHeight="1">
      <c r="A110" s="914"/>
      <c r="C110" s="765"/>
    </row>
    <row r="111" spans="1:3" s="913" customFormat="1" ht="12" customHeight="1">
      <c r="A111" s="914"/>
      <c r="C111" s="765"/>
    </row>
    <row r="112" spans="1:3" s="913" customFormat="1" ht="12" customHeight="1">
      <c r="A112" s="914"/>
      <c r="C112" s="765"/>
    </row>
    <row r="113" spans="1:3" s="913" customFormat="1" ht="12" customHeight="1">
      <c r="A113" s="914"/>
      <c r="C113" s="765"/>
    </row>
    <row r="114" spans="1:3" s="913" customFormat="1" ht="12" customHeight="1">
      <c r="A114" s="914"/>
      <c r="C114" s="765"/>
    </row>
    <row r="115" spans="1:3" s="913" customFormat="1" ht="12" customHeight="1">
      <c r="A115" s="914"/>
      <c r="C115" s="765"/>
    </row>
    <row r="116" spans="1:3" s="913" customFormat="1" ht="12" customHeight="1">
      <c r="A116" s="914"/>
      <c r="C116" s="765"/>
    </row>
    <row r="117" spans="1:3" s="913" customFormat="1" ht="12" customHeight="1">
      <c r="A117" s="914"/>
      <c r="C117" s="765"/>
    </row>
    <row r="118" spans="1:3" s="913" customFormat="1" ht="12" customHeight="1">
      <c r="A118" s="914"/>
      <c r="C118" s="765"/>
    </row>
    <row r="119" spans="1:3" s="913" customFormat="1" ht="12" customHeight="1">
      <c r="A119" s="914"/>
      <c r="C119" s="765"/>
    </row>
    <row r="120" spans="1:3" s="913" customFormat="1" ht="12" customHeight="1">
      <c r="A120" s="914"/>
      <c r="C120" s="765"/>
    </row>
    <row r="121" spans="1:3" s="913" customFormat="1" ht="12" customHeight="1">
      <c r="A121" s="914"/>
      <c r="C121" s="765"/>
    </row>
    <row r="122" spans="1:3" s="913" customFormat="1" ht="12" customHeight="1">
      <c r="A122" s="914"/>
      <c r="C122" s="765"/>
    </row>
    <row r="123" spans="1:3" s="913" customFormat="1" ht="12" customHeight="1">
      <c r="A123" s="914"/>
      <c r="C123" s="765"/>
    </row>
    <row r="124" spans="1:3" s="913" customFormat="1" ht="12" customHeight="1">
      <c r="A124" s="914"/>
      <c r="C124" s="765"/>
    </row>
    <row r="125" spans="1:3" s="913" customFormat="1" ht="12" customHeight="1">
      <c r="A125" s="914"/>
      <c r="C125" s="765"/>
    </row>
    <row r="126" spans="1:3" s="913" customFormat="1" ht="12" customHeight="1">
      <c r="A126" s="914"/>
      <c r="C126" s="765"/>
    </row>
    <row r="127" spans="1:3" s="913" customFormat="1" ht="12" customHeight="1">
      <c r="A127" s="914"/>
      <c r="C127" s="765"/>
    </row>
    <row r="128" spans="1:3" s="913" customFormat="1" ht="12" customHeight="1">
      <c r="A128" s="914"/>
      <c r="C128" s="765"/>
    </row>
    <row r="129" spans="1:3" s="913" customFormat="1" ht="12" customHeight="1">
      <c r="A129" s="914"/>
      <c r="C129" s="765"/>
    </row>
    <row r="130" spans="1:3" s="913" customFormat="1" ht="12" customHeight="1">
      <c r="A130" s="914"/>
      <c r="C130" s="765"/>
    </row>
    <row r="131" spans="1:3" s="913" customFormat="1" ht="12" customHeight="1">
      <c r="A131" s="914"/>
      <c r="C131" s="765"/>
    </row>
    <row r="132" spans="1:3" s="913" customFormat="1" ht="12" customHeight="1">
      <c r="A132" s="914"/>
      <c r="C132" s="765"/>
    </row>
    <row r="133" spans="1:3" s="913" customFormat="1" ht="12" customHeight="1">
      <c r="A133" s="914"/>
      <c r="C133" s="765"/>
    </row>
    <row r="134" spans="1:3" s="913" customFormat="1" ht="12" customHeight="1">
      <c r="A134" s="914"/>
      <c r="C134" s="765"/>
    </row>
    <row r="135" spans="1:3" s="913" customFormat="1" ht="12" customHeight="1">
      <c r="A135" s="914"/>
      <c r="C135" s="765"/>
    </row>
    <row r="136" spans="1:3" s="913" customFormat="1" ht="12" customHeight="1">
      <c r="A136" s="914"/>
      <c r="C136" s="765"/>
    </row>
    <row r="137" spans="1:3" s="913" customFormat="1" ht="12" customHeight="1">
      <c r="A137" s="914"/>
      <c r="C137" s="765"/>
    </row>
    <row r="138" spans="1:3" s="913" customFormat="1" ht="12" customHeight="1">
      <c r="A138" s="914"/>
      <c r="C138" s="765"/>
    </row>
    <row r="139" spans="1:3" s="913" customFormat="1" ht="12" customHeight="1">
      <c r="A139" s="914"/>
      <c r="C139" s="765"/>
    </row>
    <row r="140" spans="1:3" s="913" customFormat="1" ht="12" customHeight="1">
      <c r="A140" s="914"/>
      <c r="C140" s="765"/>
    </row>
    <row r="141" spans="1:3" s="913" customFormat="1" ht="12" customHeight="1">
      <c r="A141" s="914"/>
      <c r="C141" s="765"/>
    </row>
    <row r="142" spans="1:3" s="913" customFormat="1" ht="12" customHeight="1">
      <c r="A142" s="914"/>
      <c r="C142" s="765"/>
    </row>
    <row r="143" spans="1:3" s="913" customFormat="1" ht="12" customHeight="1">
      <c r="A143" s="914"/>
      <c r="C143" s="765"/>
    </row>
    <row r="144" spans="1:3" s="913" customFormat="1" ht="12" customHeight="1">
      <c r="A144" s="914"/>
      <c r="C144" s="765"/>
    </row>
    <row r="145" spans="1:3" s="913" customFormat="1" ht="12" customHeight="1">
      <c r="A145" s="914"/>
      <c r="C145" s="765"/>
    </row>
    <row r="146" spans="1:3" s="913" customFormat="1" ht="12" customHeight="1">
      <c r="A146" s="914"/>
      <c r="C146" s="765"/>
    </row>
    <row r="147" spans="1:3" s="913" customFormat="1" ht="12" customHeight="1">
      <c r="A147" s="914"/>
      <c r="C147" s="765"/>
    </row>
    <row r="148" spans="1:3" s="913" customFormat="1" ht="12" customHeight="1">
      <c r="A148" s="914"/>
      <c r="C148" s="765"/>
    </row>
    <row r="149" spans="1:3" s="913" customFormat="1" ht="12" customHeight="1">
      <c r="A149" s="914"/>
      <c r="C149" s="765"/>
    </row>
    <row r="150" spans="1:3" s="913" customFormat="1" ht="12" customHeight="1">
      <c r="A150" s="914"/>
      <c r="C150" s="765"/>
    </row>
    <row r="151" spans="1:3" s="913" customFormat="1" ht="12" customHeight="1">
      <c r="A151" s="914"/>
      <c r="C151" s="765"/>
    </row>
    <row r="152" spans="1:3" s="913" customFormat="1" ht="12" customHeight="1">
      <c r="A152" s="914"/>
      <c r="C152" s="765"/>
    </row>
    <row r="153" spans="1:3" s="913" customFormat="1" ht="12" customHeight="1">
      <c r="A153" s="914"/>
      <c r="C153" s="765"/>
    </row>
    <row r="154" spans="1:3" s="913" customFormat="1" ht="12" customHeight="1">
      <c r="A154" s="914"/>
      <c r="C154" s="765"/>
    </row>
    <row r="155" spans="1:3" s="913" customFormat="1" ht="12" customHeight="1">
      <c r="A155" s="914"/>
      <c r="C155" s="765"/>
    </row>
    <row r="156" spans="1:3" s="913" customFormat="1" ht="12" customHeight="1">
      <c r="A156" s="914"/>
      <c r="C156" s="765"/>
    </row>
    <row r="157" spans="1:3" s="913" customFormat="1" ht="12" customHeight="1">
      <c r="A157" s="914"/>
      <c r="C157" s="765"/>
    </row>
    <row r="158" spans="1:3" s="913" customFormat="1" ht="12" customHeight="1">
      <c r="A158" s="914"/>
      <c r="C158" s="765"/>
    </row>
    <row r="159" spans="1:3" s="913" customFormat="1" ht="12" customHeight="1">
      <c r="A159" s="914"/>
      <c r="C159" s="765"/>
    </row>
    <row r="160" spans="1:3" s="913" customFormat="1" ht="12" customHeight="1">
      <c r="A160" s="914"/>
      <c r="C160" s="765"/>
    </row>
    <row r="161" spans="1:3" s="913" customFormat="1" ht="12" customHeight="1">
      <c r="A161" s="914"/>
      <c r="C161" s="765"/>
    </row>
    <row r="162" spans="1:3" s="913" customFormat="1" ht="12" customHeight="1">
      <c r="A162" s="914"/>
      <c r="C162" s="765"/>
    </row>
    <row r="163" spans="1:3" s="913" customFormat="1" ht="12" customHeight="1">
      <c r="A163" s="914"/>
      <c r="C163" s="765"/>
    </row>
    <row r="164" spans="1:3" s="913" customFormat="1" ht="12" customHeight="1">
      <c r="A164" s="914"/>
      <c r="C164" s="765"/>
    </row>
    <row r="165" spans="1:3" s="913" customFormat="1" ht="12" customHeight="1">
      <c r="A165" s="914"/>
      <c r="C165" s="765"/>
    </row>
    <row r="166" spans="1:3" s="913" customFormat="1" ht="12" customHeight="1">
      <c r="A166" s="914"/>
      <c r="C166" s="765"/>
    </row>
    <row r="167" spans="1:3" s="913" customFormat="1" ht="12" customHeight="1">
      <c r="A167" s="914"/>
      <c r="C167" s="765"/>
    </row>
    <row r="168" spans="1:3" s="913" customFormat="1" ht="12" customHeight="1">
      <c r="A168" s="914"/>
      <c r="C168" s="765"/>
    </row>
    <row r="169" spans="1:3" s="913" customFormat="1" ht="12" customHeight="1">
      <c r="A169" s="914"/>
      <c r="C169" s="765"/>
    </row>
    <row r="170" spans="1:3" s="913" customFormat="1" ht="12" customHeight="1">
      <c r="A170" s="914"/>
      <c r="C170" s="765"/>
    </row>
    <row r="171" spans="1:3" s="913" customFormat="1" ht="12" customHeight="1">
      <c r="A171" s="914"/>
      <c r="C171" s="765"/>
    </row>
    <row r="172" spans="1:3" s="913" customFormat="1" ht="12" customHeight="1">
      <c r="A172" s="914"/>
      <c r="C172" s="765"/>
    </row>
    <row r="173" spans="1:3" s="913" customFormat="1" ht="12" customHeight="1">
      <c r="A173" s="914"/>
      <c r="C173" s="765"/>
    </row>
    <row r="174" spans="1:3" s="913" customFormat="1" ht="12" customHeight="1">
      <c r="A174" s="914"/>
      <c r="C174" s="765"/>
    </row>
    <row r="175" spans="1:3" s="913" customFormat="1" ht="12" customHeight="1">
      <c r="A175" s="914"/>
      <c r="C175" s="765"/>
    </row>
    <row r="176" spans="1:3" s="913" customFormat="1" ht="12" customHeight="1">
      <c r="A176" s="914"/>
      <c r="C176" s="765"/>
    </row>
    <row r="177" spans="1:3" s="913" customFormat="1" ht="12" customHeight="1">
      <c r="A177" s="914"/>
      <c r="C177" s="765"/>
    </row>
    <row r="178" spans="1:3" s="913" customFormat="1" ht="12" customHeight="1">
      <c r="A178" s="914"/>
      <c r="C178" s="765"/>
    </row>
    <row r="179" spans="1:3" s="913" customFormat="1" ht="12" customHeight="1">
      <c r="A179" s="914"/>
      <c r="C179" s="765"/>
    </row>
    <row r="180" spans="1:3" s="913" customFormat="1" ht="12" customHeight="1">
      <c r="A180" s="914"/>
      <c r="C180" s="765"/>
    </row>
    <row r="181" spans="1:3" s="913" customFormat="1" ht="12" customHeight="1">
      <c r="A181" s="914"/>
      <c r="C181" s="765"/>
    </row>
    <row r="182" spans="1:3" s="913" customFormat="1" ht="12" customHeight="1">
      <c r="A182" s="914"/>
      <c r="C182" s="765"/>
    </row>
    <row r="183" spans="1:3" s="913" customFormat="1" ht="12" customHeight="1">
      <c r="A183" s="914"/>
      <c r="C183" s="765"/>
    </row>
    <row r="184" spans="1:3" s="913" customFormat="1" ht="12" customHeight="1">
      <c r="A184" s="914"/>
      <c r="C184" s="765"/>
    </row>
    <row r="185" spans="1:3" s="913" customFormat="1" ht="12" customHeight="1">
      <c r="A185" s="914"/>
      <c r="C185" s="765"/>
    </row>
    <row r="186" spans="1:3" s="913" customFormat="1" ht="12" customHeight="1">
      <c r="A186" s="914"/>
      <c r="C186" s="765"/>
    </row>
    <row r="187" spans="1:3" s="913" customFormat="1" ht="12" customHeight="1">
      <c r="A187" s="914"/>
      <c r="C187" s="765"/>
    </row>
    <row r="188" spans="1:3" s="913" customFormat="1" ht="12" customHeight="1">
      <c r="A188" s="914"/>
      <c r="C188" s="765"/>
    </row>
    <row r="189" spans="1:3" s="913" customFormat="1" ht="12" customHeight="1">
      <c r="A189" s="914"/>
      <c r="C189" s="765"/>
    </row>
    <row r="190" spans="1:3" s="913" customFormat="1" ht="12" customHeight="1">
      <c r="A190" s="914"/>
      <c r="C190" s="765"/>
    </row>
    <row r="191" spans="1:3" s="913" customFormat="1" ht="12" customHeight="1">
      <c r="A191" s="914"/>
      <c r="C191" s="765"/>
    </row>
    <row r="192" spans="1:3" s="913" customFormat="1" ht="12" customHeight="1">
      <c r="A192" s="914"/>
      <c r="C192" s="765"/>
    </row>
    <row r="193" spans="1:3" s="913" customFormat="1" ht="12" customHeight="1">
      <c r="A193" s="914"/>
      <c r="C193" s="765"/>
    </row>
    <row r="194" spans="1:3" s="913" customFormat="1" ht="12" customHeight="1">
      <c r="A194" s="914"/>
      <c r="C194" s="765"/>
    </row>
    <row r="195" spans="1:3" s="913" customFormat="1" ht="12" customHeight="1">
      <c r="A195" s="914"/>
      <c r="C195" s="765"/>
    </row>
    <row r="196" spans="1:3" s="913" customFormat="1" ht="12" customHeight="1">
      <c r="A196" s="914"/>
      <c r="C196" s="765"/>
    </row>
    <row r="197" spans="1:3" s="913" customFormat="1" ht="12" customHeight="1">
      <c r="A197" s="914"/>
      <c r="C197" s="765"/>
    </row>
    <row r="198" spans="1:3" s="913" customFormat="1" ht="12" customHeight="1">
      <c r="A198" s="914"/>
      <c r="C198" s="765"/>
    </row>
    <row r="199" spans="1:3" s="913" customFormat="1" ht="12" customHeight="1">
      <c r="A199" s="914"/>
      <c r="C199" s="765"/>
    </row>
    <row r="200" spans="1:3" s="913" customFormat="1" ht="12" customHeight="1">
      <c r="A200" s="914"/>
      <c r="C200" s="765"/>
    </row>
    <row r="201" spans="1:3" s="913" customFormat="1" ht="12" customHeight="1">
      <c r="A201" s="914"/>
      <c r="C201" s="765"/>
    </row>
    <row r="202" spans="1:3" s="913" customFormat="1" ht="12" customHeight="1">
      <c r="A202" s="914"/>
      <c r="C202" s="765"/>
    </row>
    <row r="203" spans="1:3" s="913" customFormat="1" ht="12" customHeight="1">
      <c r="A203" s="914"/>
      <c r="C203" s="765"/>
    </row>
    <row r="204" spans="1:3" s="913" customFormat="1" ht="12" customHeight="1">
      <c r="A204" s="914"/>
      <c r="C204" s="765"/>
    </row>
    <row r="205" spans="1:3" s="913" customFormat="1" ht="12" customHeight="1">
      <c r="A205" s="914"/>
      <c r="C205" s="765"/>
    </row>
    <row r="206" spans="1:3" s="913" customFormat="1" ht="12" customHeight="1">
      <c r="A206" s="914"/>
      <c r="C206" s="765"/>
    </row>
    <row r="207" spans="1:3" s="913" customFormat="1" ht="12" customHeight="1">
      <c r="A207" s="914"/>
      <c r="C207" s="765"/>
    </row>
    <row r="208" spans="1:3" s="913" customFormat="1" ht="12" customHeight="1">
      <c r="A208" s="914"/>
      <c r="C208" s="765"/>
    </row>
    <row r="209" spans="1:3" s="913" customFormat="1" ht="12" customHeight="1">
      <c r="A209" s="914"/>
      <c r="C209" s="765"/>
    </row>
    <row r="210" spans="1:3" s="913" customFormat="1" ht="12" customHeight="1">
      <c r="A210" s="914"/>
      <c r="C210" s="765"/>
    </row>
    <row r="211" spans="1:3" s="913" customFormat="1" ht="12" customHeight="1">
      <c r="A211" s="914"/>
      <c r="C211" s="765"/>
    </row>
    <row r="212" spans="1:3" s="913" customFormat="1" ht="12" customHeight="1">
      <c r="A212" s="914"/>
      <c r="C212" s="765"/>
    </row>
    <row r="213" spans="1:3" s="913" customFormat="1" ht="12" customHeight="1">
      <c r="A213" s="914"/>
      <c r="C213" s="765"/>
    </row>
    <row r="214" spans="1:3" s="913" customFormat="1" ht="12" customHeight="1">
      <c r="A214" s="914"/>
      <c r="C214" s="765"/>
    </row>
    <row r="215" spans="1:3" s="913" customFormat="1" ht="12" customHeight="1">
      <c r="A215" s="914"/>
      <c r="C215" s="765"/>
    </row>
    <row r="216" spans="1:3" s="913" customFormat="1" ht="12" customHeight="1">
      <c r="A216" s="914"/>
      <c r="C216" s="765"/>
    </row>
    <row r="217" spans="1:3" s="913" customFormat="1" ht="12" customHeight="1">
      <c r="A217" s="914"/>
      <c r="C217" s="765"/>
    </row>
    <row r="218" spans="1:3" s="913" customFormat="1" ht="12" customHeight="1">
      <c r="A218" s="914"/>
      <c r="C218" s="765"/>
    </row>
    <row r="219" spans="1:3" s="913" customFormat="1" ht="12" customHeight="1">
      <c r="A219" s="914"/>
      <c r="C219" s="765"/>
    </row>
    <row r="220" spans="1:3" s="913" customFormat="1" ht="12" customHeight="1">
      <c r="A220" s="914"/>
      <c r="C220" s="765"/>
    </row>
    <row r="221" spans="1:3" s="913" customFormat="1" ht="12" customHeight="1">
      <c r="A221" s="914"/>
      <c r="C221" s="765"/>
    </row>
    <row r="222" spans="1:3" s="913" customFormat="1" ht="12" customHeight="1">
      <c r="A222" s="914"/>
      <c r="C222" s="765"/>
    </row>
    <row r="223" spans="1:3" s="913" customFormat="1" ht="12" customHeight="1">
      <c r="A223" s="914"/>
      <c r="C223" s="765"/>
    </row>
    <row r="224" spans="1:3" s="913" customFormat="1" ht="12" customHeight="1">
      <c r="A224" s="914"/>
      <c r="C224" s="765"/>
    </row>
    <row r="225" spans="1:3" s="913" customFormat="1" ht="12" customHeight="1">
      <c r="A225" s="914"/>
      <c r="C225" s="765"/>
    </row>
    <row r="226" spans="1:3" s="913" customFormat="1" ht="12" customHeight="1">
      <c r="A226" s="914"/>
      <c r="C226" s="765"/>
    </row>
    <row r="227" spans="1:3" s="913" customFormat="1" ht="12" customHeight="1">
      <c r="A227" s="914"/>
      <c r="C227" s="765"/>
    </row>
    <row r="228" spans="1:3" s="913" customFormat="1" ht="12" customHeight="1">
      <c r="A228" s="914"/>
      <c r="C228" s="765"/>
    </row>
    <row r="229" spans="1:3" s="913" customFormat="1" ht="12" customHeight="1">
      <c r="A229" s="914"/>
      <c r="C229" s="765"/>
    </row>
    <row r="230" spans="1:3" s="913" customFormat="1" ht="12" customHeight="1">
      <c r="A230" s="914"/>
      <c r="C230" s="765"/>
    </row>
    <row r="231" spans="1:3" s="913" customFormat="1" ht="12" customHeight="1">
      <c r="A231" s="914"/>
      <c r="C231" s="765"/>
    </row>
    <row r="232" spans="1:3" s="913" customFormat="1" ht="12" customHeight="1">
      <c r="A232" s="914"/>
      <c r="C232" s="765"/>
    </row>
    <row r="233" spans="1:3" s="913" customFormat="1" ht="12" customHeight="1">
      <c r="A233" s="914"/>
      <c r="C233" s="765"/>
    </row>
    <row r="234" spans="1:3" s="913" customFormat="1" ht="12" customHeight="1">
      <c r="A234" s="914"/>
      <c r="C234" s="765"/>
    </row>
    <row r="235" spans="1:3" s="913" customFormat="1" ht="12" customHeight="1">
      <c r="A235" s="914"/>
      <c r="C235" s="765"/>
    </row>
    <row r="236" spans="1:3" s="913" customFormat="1" ht="12" customHeight="1">
      <c r="A236" s="914"/>
      <c r="C236" s="765"/>
    </row>
    <row r="237" spans="1:3" s="913" customFormat="1" ht="12" customHeight="1">
      <c r="A237" s="914"/>
      <c r="C237" s="765"/>
    </row>
    <row r="238" spans="1:3" s="913" customFormat="1" ht="12" customHeight="1">
      <c r="A238" s="914"/>
      <c r="C238" s="765"/>
    </row>
    <row r="239" spans="1:3" s="913" customFormat="1" ht="12" customHeight="1">
      <c r="A239" s="914"/>
      <c r="C239" s="765"/>
    </row>
    <row r="240" spans="1:3" s="913" customFormat="1" ht="12" customHeight="1">
      <c r="A240" s="914"/>
      <c r="C240" s="765"/>
    </row>
    <row r="241" spans="1:3" s="913" customFormat="1" ht="12" customHeight="1">
      <c r="A241" s="914"/>
      <c r="C241" s="765"/>
    </row>
    <row r="242" spans="1:3" s="913" customFormat="1" ht="12" customHeight="1">
      <c r="A242" s="914"/>
      <c r="C242" s="765"/>
    </row>
    <row r="243" spans="1:3" s="913" customFormat="1" ht="12" customHeight="1">
      <c r="A243" s="914"/>
      <c r="C243" s="765"/>
    </row>
    <row r="244" spans="1:3" s="913" customFormat="1" ht="12" customHeight="1">
      <c r="A244" s="914"/>
      <c r="C244" s="765"/>
    </row>
    <row r="245" spans="1:3" s="913" customFormat="1" ht="12" customHeight="1">
      <c r="A245" s="914"/>
      <c r="C245" s="765"/>
    </row>
    <row r="246" spans="1:3" s="913" customFormat="1" ht="12" customHeight="1">
      <c r="A246" s="914"/>
      <c r="C246" s="765"/>
    </row>
    <row r="247" spans="1:3" s="913" customFormat="1" ht="12" customHeight="1">
      <c r="A247" s="914"/>
      <c r="C247" s="765"/>
    </row>
    <row r="248" spans="1:3" s="913" customFormat="1" ht="12" customHeight="1">
      <c r="A248" s="914"/>
      <c r="C248" s="765"/>
    </row>
    <row r="249" spans="1:3" s="913" customFormat="1" ht="12" customHeight="1">
      <c r="A249" s="914"/>
      <c r="C249" s="765"/>
    </row>
    <row r="250" spans="1:3" s="913" customFormat="1" ht="12" customHeight="1">
      <c r="A250" s="914"/>
      <c r="C250" s="765"/>
    </row>
    <row r="251" spans="1:3" s="913" customFormat="1" ht="12" customHeight="1">
      <c r="A251" s="914"/>
      <c r="C251" s="765"/>
    </row>
    <row r="252" spans="1:3" s="913" customFormat="1" ht="12" customHeight="1">
      <c r="A252" s="914"/>
      <c r="C252" s="765"/>
    </row>
    <row r="253" spans="1:3" s="913" customFormat="1" ht="12" customHeight="1">
      <c r="A253" s="914"/>
      <c r="C253" s="765"/>
    </row>
    <row r="254" spans="1:3" s="913" customFormat="1" ht="12" customHeight="1">
      <c r="A254" s="914"/>
      <c r="C254" s="765"/>
    </row>
    <row r="255" spans="1:3" s="913" customFormat="1" ht="12" customHeight="1">
      <c r="A255" s="914"/>
      <c r="C255" s="765"/>
    </row>
    <row r="256" spans="1:3" s="913" customFormat="1" ht="12" customHeight="1">
      <c r="A256" s="914"/>
      <c r="C256" s="765"/>
    </row>
    <row r="257" spans="1:3" s="913" customFormat="1" ht="12" customHeight="1">
      <c r="A257" s="914"/>
      <c r="C257" s="765"/>
    </row>
    <row r="258" spans="1:3" s="913" customFormat="1" ht="12" customHeight="1">
      <c r="A258" s="914"/>
      <c r="C258" s="765"/>
    </row>
    <row r="259" spans="1:3" s="913" customFormat="1" ht="12" customHeight="1">
      <c r="A259" s="914"/>
      <c r="C259" s="765"/>
    </row>
    <row r="260" spans="1:3" s="913" customFormat="1" ht="12" customHeight="1">
      <c r="A260" s="914"/>
      <c r="C260" s="765"/>
    </row>
    <row r="261" spans="1:3" s="913" customFormat="1" ht="12" customHeight="1">
      <c r="A261" s="914"/>
      <c r="C261" s="765"/>
    </row>
    <row r="262" spans="1:3" s="913" customFormat="1" ht="12" customHeight="1">
      <c r="A262" s="914"/>
      <c r="C262" s="765"/>
    </row>
    <row r="263" spans="1:3" s="913" customFormat="1" ht="12" customHeight="1">
      <c r="A263" s="914"/>
      <c r="C263" s="765"/>
    </row>
    <row r="264" spans="1:3" s="913" customFormat="1" ht="12" customHeight="1">
      <c r="A264" s="914"/>
      <c r="C264" s="765"/>
    </row>
    <row r="265" spans="1:3" s="913" customFormat="1" ht="12" customHeight="1">
      <c r="A265" s="914"/>
      <c r="C265" s="765"/>
    </row>
    <row r="266" spans="1:3" s="913" customFormat="1" ht="12" customHeight="1">
      <c r="A266" s="914"/>
      <c r="C266" s="765"/>
    </row>
    <row r="267" spans="1:3" s="913" customFormat="1" ht="12" customHeight="1">
      <c r="A267" s="914"/>
      <c r="C267" s="765"/>
    </row>
    <row r="268" spans="1:3" s="913" customFormat="1" ht="12" customHeight="1">
      <c r="A268" s="914"/>
      <c r="C268" s="765"/>
    </row>
    <row r="269" spans="1:3" s="913" customFormat="1" ht="12" customHeight="1">
      <c r="A269" s="914"/>
      <c r="C269" s="765"/>
    </row>
    <row r="270" spans="1:3" s="913" customFormat="1" ht="12" customHeight="1">
      <c r="A270" s="914"/>
      <c r="C270" s="765"/>
    </row>
    <row r="271" spans="1:3" s="913" customFormat="1" ht="12" customHeight="1">
      <c r="A271" s="914"/>
      <c r="C271" s="765"/>
    </row>
    <row r="272" spans="1:3" s="913" customFormat="1" ht="12" customHeight="1">
      <c r="A272" s="914"/>
      <c r="C272" s="765"/>
    </row>
    <row r="273" spans="1:3" s="913" customFormat="1" ht="12" customHeight="1">
      <c r="A273" s="914"/>
      <c r="C273" s="765"/>
    </row>
    <row r="274" spans="1:3" s="913" customFormat="1" ht="12" customHeight="1">
      <c r="A274" s="914"/>
      <c r="C274" s="765"/>
    </row>
    <row r="275" spans="1:3" s="913" customFormat="1" ht="12" customHeight="1">
      <c r="A275" s="914"/>
      <c r="C275" s="765"/>
    </row>
    <row r="276" spans="1:3" s="913" customFormat="1" ht="12" customHeight="1">
      <c r="A276" s="914"/>
      <c r="C276" s="765"/>
    </row>
    <row r="277" spans="1:3" s="913" customFormat="1" ht="12" customHeight="1">
      <c r="A277" s="914"/>
      <c r="C277" s="765"/>
    </row>
    <row r="278" spans="1:3" s="913" customFormat="1" ht="12" customHeight="1">
      <c r="A278" s="914"/>
      <c r="C278" s="765"/>
    </row>
    <row r="279" spans="1:3" s="913" customFormat="1" ht="12" customHeight="1">
      <c r="A279" s="914"/>
      <c r="C279" s="765"/>
    </row>
    <row r="280" spans="1:3" s="913" customFormat="1" ht="12" customHeight="1">
      <c r="A280" s="914"/>
      <c r="C280" s="765"/>
    </row>
    <row r="281" spans="1:3" s="913" customFormat="1" ht="12" customHeight="1">
      <c r="A281" s="914"/>
      <c r="C281" s="765"/>
    </row>
    <row r="282" spans="1:3" s="913" customFormat="1" ht="12" customHeight="1">
      <c r="A282" s="914"/>
      <c r="C282" s="765"/>
    </row>
    <row r="283" spans="1:3" s="913" customFormat="1" ht="12" customHeight="1">
      <c r="A283" s="914"/>
      <c r="C283" s="765"/>
    </row>
    <row r="284" spans="1:3" s="913" customFormat="1" ht="12" customHeight="1">
      <c r="A284" s="914"/>
      <c r="C284" s="765"/>
    </row>
    <row r="285" spans="1:3" s="913" customFormat="1" ht="12" customHeight="1">
      <c r="A285" s="914"/>
      <c r="C285" s="765"/>
    </row>
    <row r="286" spans="1:3" s="913" customFormat="1" ht="12" customHeight="1">
      <c r="A286" s="914"/>
      <c r="C286" s="765"/>
    </row>
    <row r="287" spans="1:3" s="913" customFormat="1" ht="12" customHeight="1">
      <c r="A287" s="914"/>
      <c r="C287" s="765"/>
    </row>
    <row r="288" spans="1:3" s="913" customFormat="1" ht="12" customHeight="1">
      <c r="A288" s="914"/>
      <c r="C288" s="765"/>
    </row>
    <row r="289" spans="1:3" s="913" customFormat="1" ht="12" customHeight="1">
      <c r="A289" s="914"/>
      <c r="C289" s="765"/>
    </row>
    <row r="290" spans="1:3" s="913" customFormat="1" ht="12" customHeight="1">
      <c r="A290" s="914"/>
      <c r="C290" s="765"/>
    </row>
    <row r="291" spans="1:3" s="913" customFormat="1" ht="12" customHeight="1">
      <c r="A291" s="914"/>
      <c r="C291" s="765"/>
    </row>
    <row r="292" spans="1:3" s="913" customFormat="1" ht="12" customHeight="1">
      <c r="A292" s="914"/>
      <c r="C292" s="765"/>
    </row>
    <row r="293" spans="1:3" s="913" customFormat="1" ht="12" customHeight="1">
      <c r="A293" s="914"/>
      <c r="C293" s="765"/>
    </row>
    <row r="294" spans="1:3" s="913" customFormat="1" ht="12" customHeight="1">
      <c r="A294" s="914"/>
      <c r="C294" s="765"/>
    </row>
    <row r="295" spans="1:3" s="913" customFormat="1" ht="12" customHeight="1">
      <c r="A295" s="914"/>
      <c r="C295" s="765"/>
    </row>
    <row r="296" spans="1:3" s="913" customFormat="1" ht="12" customHeight="1">
      <c r="A296" s="914"/>
      <c r="C296" s="765"/>
    </row>
    <row r="297" spans="1:3" s="913" customFormat="1" ht="12" customHeight="1">
      <c r="A297" s="914"/>
      <c r="C297" s="765"/>
    </row>
    <row r="298" spans="1:3" s="913" customFormat="1" ht="12" customHeight="1">
      <c r="A298" s="914"/>
      <c r="C298" s="765"/>
    </row>
    <row r="299" spans="1:3" s="913" customFormat="1" ht="12" customHeight="1">
      <c r="A299" s="914"/>
      <c r="C299" s="765"/>
    </row>
    <row r="300" spans="1:3" s="913" customFormat="1" ht="12" customHeight="1">
      <c r="A300" s="914"/>
      <c r="C300" s="765"/>
    </row>
    <row r="301" spans="1:3" s="913" customFormat="1" ht="12" customHeight="1">
      <c r="A301" s="914"/>
      <c r="C301" s="765"/>
    </row>
    <row r="302" spans="1:3" s="913" customFormat="1" ht="12" customHeight="1">
      <c r="A302" s="914"/>
      <c r="C302" s="765"/>
    </row>
    <row r="303" spans="1:3" s="913" customFormat="1" ht="12" customHeight="1">
      <c r="A303" s="914"/>
      <c r="C303" s="765"/>
    </row>
    <row r="304" spans="1:3" s="913" customFormat="1" ht="12" customHeight="1">
      <c r="A304" s="914"/>
      <c r="C304" s="765"/>
    </row>
    <row r="305" spans="1:3" s="913" customFormat="1" ht="12" customHeight="1">
      <c r="A305" s="914"/>
      <c r="C305" s="765"/>
    </row>
    <row r="306" spans="1:3" s="913" customFormat="1" ht="12" customHeight="1">
      <c r="A306" s="914"/>
      <c r="C306" s="765"/>
    </row>
    <row r="307" spans="1:3" s="913" customFormat="1" ht="12" customHeight="1">
      <c r="A307" s="914"/>
      <c r="C307" s="765"/>
    </row>
    <row r="308" spans="1:3" s="913" customFormat="1" ht="12" customHeight="1">
      <c r="A308" s="914"/>
      <c r="C308" s="765"/>
    </row>
    <row r="309" spans="1:3" s="913" customFormat="1" ht="12" customHeight="1">
      <c r="A309" s="914"/>
      <c r="C309" s="765"/>
    </row>
    <row r="310" spans="1:3" s="913" customFormat="1" ht="12" customHeight="1">
      <c r="A310" s="914"/>
      <c r="C310" s="765"/>
    </row>
    <row r="311" spans="1:3" s="913" customFormat="1" ht="12" customHeight="1">
      <c r="A311" s="914"/>
      <c r="C311" s="765"/>
    </row>
    <row r="312" spans="1:3" s="913" customFormat="1" ht="12" customHeight="1">
      <c r="A312" s="914"/>
      <c r="C312" s="765"/>
    </row>
    <row r="313" spans="1:3" s="913" customFormat="1" ht="12" customHeight="1">
      <c r="A313" s="914"/>
      <c r="C313" s="765"/>
    </row>
    <row r="314" spans="1:3" s="913" customFormat="1" ht="12" customHeight="1">
      <c r="A314" s="914"/>
      <c r="C314" s="765"/>
    </row>
    <row r="315" spans="1:3" s="913" customFormat="1" ht="12" customHeight="1">
      <c r="A315" s="914"/>
      <c r="C315" s="765"/>
    </row>
    <row r="316" spans="1:3" s="913" customFormat="1" ht="12" customHeight="1">
      <c r="A316" s="914"/>
      <c r="C316" s="765"/>
    </row>
    <row r="317" spans="1:3" s="913" customFormat="1" ht="12" customHeight="1">
      <c r="A317" s="914"/>
      <c r="C317" s="765"/>
    </row>
    <row r="318" spans="1:3" s="913" customFormat="1" ht="12" customHeight="1">
      <c r="A318" s="914"/>
      <c r="C318" s="765"/>
    </row>
    <row r="319" spans="1:3" s="913" customFormat="1" ht="12" customHeight="1">
      <c r="A319" s="914"/>
      <c r="C319" s="765"/>
    </row>
    <row r="320" spans="1:3" s="913" customFormat="1" ht="12" customHeight="1">
      <c r="A320" s="914"/>
      <c r="C320" s="765"/>
    </row>
    <row r="321" spans="1:3" s="913" customFormat="1" ht="12" customHeight="1">
      <c r="A321" s="914"/>
      <c r="C321" s="765"/>
    </row>
    <row r="322" spans="1:3" s="913" customFormat="1" ht="12" customHeight="1">
      <c r="A322" s="914"/>
      <c r="C322" s="765"/>
    </row>
    <row r="323" spans="1:3" s="913" customFormat="1" ht="12" customHeight="1">
      <c r="A323" s="914"/>
      <c r="C323" s="765"/>
    </row>
    <row r="324" spans="1:3" s="913" customFormat="1" ht="12" customHeight="1">
      <c r="A324" s="914"/>
      <c r="C324" s="765"/>
    </row>
    <row r="325" spans="1:3" s="913" customFormat="1" ht="12" customHeight="1">
      <c r="A325" s="914"/>
      <c r="C325" s="765"/>
    </row>
    <row r="326" spans="1:3" s="913" customFormat="1" ht="12" customHeight="1">
      <c r="A326" s="914"/>
      <c r="C326" s="765"/>
    </row>
    <row r="327" spans="1:3" s="913" customFormat="1" ht="12" customHeight="1">
      <c r="A327" s="914"/>
      <c r="C327" s="765"/>
    </row>
    <row r="328" spans="1:3" s="913" customFormat="1" ht="12" customHeight="1">
      <c r="A328" s="914"/>
      <c r="C328" s="765"/>
    </row>
    <row r="329" spans="1:3" s="913" customFormat="1" ht="12" customHeight="1">
      <c r="A329" s="914"/>
      <c r="C329" s="765"/>
    </row>
    <row r="330" spans="1:3" s="913" customFormat="1" ht="12" customHeight="1">
      <c r="A330" s="914"/>
      <c r="C330" s="765"/>
    </row>
    <row r="331" spans="1:3" s="913" customFormat="1" ht="12" customHeight="1">
      <c r="A331" s="914"/>
      <c r="C331" s="765"/>
    </row>
    <row r="332" spans="1:3" s="913" customFormat="1" ht="12" customHeight="1">
      <c r="A332" s="914"/>
      <c r="C332" s="765"/>
    </row>
    <row r="333" spans="1:3" s="913" customFormat="1" ht="12" customHeight="1">
      <c r="A333" s="914"/>
      <c r="C333" s="765"/>
    </row>
    <row r="334" spans="1:3" s="913" customFormat="1" ht="12" customHeight="1">
      <c r="A334" s="914"/>
      <c r="C334" s="765"/>
    </row>
    <row r="335" spans="1:3" s="913" customFormat="1" ht="12" customHeight="1">
      <c r="A335" s="914"/>
      <c r="C335" s="765"/>
    </row>
    <row r="336" spans="1:3" s="913" customFormat="1" ht="12" customHeight="1">
      <c r="A336" s="914"/>
      <c r="C336" s="765"/>
    </row>
    <row r="337" spans="1:3" s="913" customFormat="1" ht="12" customHeight="1">
      <c r="A337" s="914"/>
      <c r="C337" s="765"/>
    </row>
    <row r="338" spans="1:3" s="913" customFormat="1" ht="12" customHeight="1">
      <c r="A338" s="914"/>
      <c r="C338" s="765"/>
    </row>
    <row r="339" spans="1:3" s="913" customFormat="1" ht="12" customHeight="1">
      <c r="A339" s="914"/>
      <c r="C339" s="765"/>
    </row>
    <row r="340" spans="1:3" s="913" customFormat="1" ht="12" customHeight="1">
      <c r="A340" s="914"/>
      <c r="C340" s="765"/>
    </row>
    <row r="341" spans="1:3" s="913" customFormat="1" ht="12" customHeight="1">
      <c r="A341" s="914"/>
      <c r="C341" s="765"/>
    </row>
    <row r="342" spans="1:3" s="913" customFormat="1" ht="12" customHeight="1">
      <c r="A342" s="914"/>
      <c r="C342" s="765"/>
    </row>
    <row r="343" spans="1:3" s="913" customFormat="1" ht="12" customHeight="1">
      <c r="A343" s="914"/>
      <c r="C343" s="765"/>
    </row>
    <row r="344" spans="1:3" s="913" customFormat="1" ht="12" customHeight="1">
      <c r="A344" s="914"/>
      <c r="C344" s="765"/>
    </row>
    <row r="345" spans="1:3" s="913" customFormat="1" ht="12" customHeight="1">
      <c r="A345" s="914"/>
      <c r="C345" s="765"/>
    </row>
    <row r="346" spans="1:3" s="913" customFormat="1" ht="12" customHeight="1">
      <c r="A346" s="914"/>
      <c r="C346" s="765"/>
    </row>
    <row r="347" spans="1:3" s="913" customFormat="1" ht="12" customHeight="1">
      <c r="A347" s="914"/>
      <c r="C347" s="765"/>
    </row>
    <row r="348" spans="1:3" s="913" customFormat="1" ht="12" customHeight="1">
      <c r="A348" s="914"/>
      <c r="C348" s="765"/>
    </row>
    <row r="349" spans="1:3" s="913" customFormat="1" ht="12" customHeight="1">
      <c r="A349" s="914"/>
      <c r="C349" s="765"/>
    </row>
    <row r="350" spans="1:3" s="913" customFormat="1" ht="12" customHeight="1">
      <c r="A350" s="914"/>
      <c r="C350" s="765"/>
    </row>
    <row r="351" spans="1:3" s="913" customFormat="1" ht="12" customHeight="1">
      <c r="A351" s="914"/>
      <c r="C351" s="765"/>
    </row>
    <row r="352" spans="1:3" s="913" customFormat="1" ht="12" customHeight="1">
      <c r="A352" s="914"/>
      <c r="C352" s="765"/>
    </row>
    <row r="353" spans="1:3" s="913" customFormat="1" ht="12" customHeight="1">
      <c r="A353" s="914"/>
      <c r="C353" s="765"/>
    </row>
    <row r="354" spans="1:3" s="913" customFormat="1" ht="12" customHeight="1">
      <c r="A354" s="914"/>
      <c r="C354" s="765"/>
    </row>
    <row r="355" spans="1:3" s="913" customFormat="1" ht="12" customHeight="1">
      <c r="A355" s="914"/>
      <c r="C355" s="765"/>
    </row>
    <row r="356" spans="1:3" s="913" customFormat="1" ht="12" customHeight="1">
      <c r="A356" s="914"/>
      <c r="C356" s="765"/>
    </row>
    <row r="357" spans="1:3" s="913" customFormat="1" ht="12" customHeight="1">
      <c r="A357" s="914"/>
      <c r="C357" s="765"/>
    </row>
    <row r="358" spans="1:3" s="913" customFormat="1" ht="12" customHeight="1">
      <c r="A358" s="914"/>
      <c r="C358" s="765"/>
    </row>
    <row r="359" spans="1:3" s="913" customFormat="1" ht="12" customHeight="1">
      <c r="A359" s="914"/>
      <c r="C359" s="765"/>
    </row>
    <row r="360" spans="1:3" s="913" customFormat="1" ht="12" customHeight="1">
      <c r="A360" s="914"/>
      <c r="C360" s="765"/>
    </row>
    <row r="361" spans="1:3" s="913" customFormat="1" ht="12" customHeight="1">
      <c r="A361" s="914"/>
      <c r="C361" s="765"/>
    </row>
    <row r="362" spans="1:3" s="913" customFormat="1" ht="12" customHeight="1">
      <c r="A362" s="914"/>
      <c r="C362" s="765"/>
    </row>
    <row r="363" spans="1:3" s="913" customFormat="1" ht="12" customHeight="1">
      <c r="A363" s="914"/>
      <c r="C363" s="765"/>
    </row>
    <row r="364" spans="1:3" s="913" customFormat="1" ht="12" customHeight="1">
      <c r="A364" s="914"/>
      <c r="C364" s="765"/>
    </row>
    <row r="365" spans="1:3" s="913" customFormat="1" ht="12" customHeight="1">
      <c r="A365" s="914"/>
      <c r="C365" s="765"/>
    </row>
    <row r="366" spans="1:3" s="913" customFormat="1" ht="12" customHeight="1">
      <c r="A366" s="914"/>
      <c r="C366" s="765"/>
    </row>
    <row r="367" spans="1:3" s="913" customFormat="1" ht="12" customHeight="1">
      <c r="A367" s="914"/>
      <c r="C367" s="765"/>
    </row>
    <row r="368" spans="1:3" s="913" customFormat="1" ht="12" customHeight="1">
      <c r="A368" s="914"/>
      <c r="C368" s="765"/>
    </row>
    <row r="369" spans="1:3" s="913" customFormat="1" ht="12" customHeight="1">
      <c r="A369" s="914"/>
      <c r="C369" s="765"/>
    </row>
    <row r="370" spans="1:3" s="913" customFormat="1" ht="12" customHeight="1">
      <c r="A370" s="914"/>
      <c r="C370" s="765"/>
    </row>
    <row r="371" spans="1:3" s="913" customFormat="1" ht="12" customHeight="1">
      <c r="A371" s="914"/>
      <c r="C371" s="765"/>
    </row>
    <row r="372" spans="1:3" s="913" customFormat="1" ht="12" customHeight="1">
      <c r="A372" s="914"/>
      <c r="C372" s="765"/>
    </row>
    <row r="373" spans="1:3" s="913" customFormat="1" ht="12" customHeight="1">
      <c r="A373" s="914"/>
      <c r="C373" s="765"/>
    </row>
    <row r="374" spans="1:3" s="913" customFormat="1" ht="12" customHeight="1">
      <c r="A374" s="914"/>
      <c r="C374" s="765"/>
    </row>
    <row r="375" spans="1:3" s="913" customFormat="1" ht="12" customHeight="1">
      <c r="A375" s="914"/>
      <c r="C375" s="765"/>
    </row>
    <row r="376" spans="1:3" s="913" customFormat="1" ht="12" customHeight="1">
      <c r="A376" s="914"/>
      <c r="C376" s="765"/>
    </row>
    <row r="377" spans="1:3" s="913" customFormat="1" ht="12" customHeight="1">
      <c r="A377" s="914"/>
      <c r="C377" s="765"/>
    </row>
    <row r="378" spans="1:3" s="913" customFormat="1" ht="12" customHeight="1">
      <c r="A378" s="914"/>
      <c r="C378" s="765"/>
    </row>
    <row r="379" spans="1:3" s="913" customFormat="1" ht="12" customHeight="1">
      <c r="A379" s="914"/>
      <c r="C379" s="765"/>
    </row>
    <row r="380" spans="1:3" s="913" customFormat="1" ht="12" customHeight="1">
      <c r="A380" s="914"/>
      <c r="C380" s="765"/>
    </row>
    <row r="381" spans="1:3" s="913" customFormat="1" ht="12" customHeight="1">
      <c r="A381" s="914"/>
      <c r="C381" s="765"/>
    </row>
    <row r="382" spans="1:3" s="913" customFormat="1" ht="12" customHeight="1">
      <c r="A382" s="914"/>
      <c r="C382" s="765"/>
    </row>
    <row r="383" spans="1:3" s="913" customFormat="1" ht="12" customHeight="1">
      <c r="A383" s="914"/>
      <c r="C383" s="765"/>
    </row>
    <row r="384" spans="1:3" s="913" customFormat="1" ht="12" customHeight="1">
      <c r="A384" s="914"/>
      <c r="C384" s="765"/>
    </row>
    <row r="385" spans="1:3" s="913" customFormat="1" ht="12" customHeight="1">
      <c r="A385" s="914"/>
      <c r="C385" s="765"/>
    </row>
    <row r="386" spans="1:3" s="913" customFormat="1" ht="12" customHeight="1">
      <c r="A386" s="914"/>
      <c r="C386" s="765"/>
    </row>
    <row r="387" spans="1:3" s="913" customFormat="1" ht="12" customHeight="1">
      <c r="A387" s="914"/>
      <c r="C387" s="765"/>
    </row>
    <row r="388" spans="1:3" s="913" customFormat="1" ht="12" customHeight="1">
      <c r="A388" s="914"/>
      <c r="C388" s="765"/>
    </row>
    <row r="389" spans="1:3" s="913" customFormat="1" ht="12" customHeight="1">
      <c r="A389" s="914"/>
      <c r="C389" s="765"/>
    </row>
    <row r="390" spans="1:3" s="913" customFormat="1" ht="12" customHeight="1">
      <c r="A390" s="914"/>
      <c r="C390" s="765"/>
    </row>
    <row r="391" spans="1:3" s="913" customFormat="1" ht="12" customHeight="1">
      <c r="A391" s="914"/>
      <c r="C391" s="765"/>
    </row>
    <row r="392" spans="1:3" s="913" customFormat="1" ht="12" customHeight="1">
      <c r="A392" s="914"/>
      <c r="C392" s="765"/>
    </row>
    <row r="393" spans="1:3" s="913" customFormat="1" ht="12" customHeight="1">
      <c r="A393" s="914"/>
      <c r="C393" s="765"/>
    </row>
    <row r="394" spans="1:3" s="913" customFormat="1" ht="12" customHeight="1">
      <c r="A394" s="914"/>
      <c r="C394" s="765"/>
    </row>
    <row r="395" spans="1:3" s="913" customFormat="1" ht="12" customHeight="1">
      <c r="A395" s="914"/>
      <c r="C395" s="765"/>
    </row>
    <row r="396" spans="1:3" s="913" customFormat="1" ht="12" customHeight="1">
      <c r="A396" s="914"/>
      <c r="C396" s="765"/>
    </row>
    <row r="397" spans="1:3" s="913" customFormat="1" ht="12" customHeight="1">
      <c r="A397" s="914"/>
      <c r="C397" s="765"/>
    </row>
    <row r="398" spans="1:3" s="913" customFormat="1" ht="12" customHeight="1">
      <c r="A398" s="914"/>
      <c r="C398" s="765"/>
    </row>
    <row r="399" spans="1:3" s="913" customFormat="1" ht="12" customHeight="1">
      <c r="A399" s="914"/>
      <c r="C399" s="765"/>
    </row>
    <row r="400" spans="1:3" s="913" customFormat="1" ht="12" customHeight="1">
      <c r="A400" s="914"/>
      <c r="C400" s="765"/>
    </row>
    <row r="401" spans="1:3" s="913" customFormat="1" ht="12" customHeight="1">
      <c r="A401" s="914"/>
      <c r="C401" s="765"/>
    </row>
    <row r="402" spans="1:3" s="913" customFormat="1" ht="12" customHeight="1">
      <c r="A402" s="914"/>
      <c r="C402" s="765"/>
    </row>
    <row r="403" spans="1:3" s="913" customFormat="1" ht="12" customHeight="1">
      <c r="A403" s="914"/>
      <c r="C403" s="765"/>
    </row>
    <row r="404" spans="1:3" s="913" customFormat="1" ht="12" customHeight="1">
      <c r="A404" s="914"/>
      <c r="C404" s="765"/>
    </row>
    <row r="405" spans="1:3" s="913" customFormat="1" ht="12" customHeight="1">
      <c r="A405" s="914"/>
      <c r="C405" s="765"/>
    </row>
    <row r="406" spans="1:3" s="913" customFormat="1" ht="12" customHeight="1">
      <c r="A406" s="914"/>
      <c r="C406" s="765"/>
    </row>
    <row r="407" spans="1:3" s="913" customFormat="1" ht="12" customHeight="1">
      <c r="A407" s="914"/>
      <c r="C407" s="765"/>
    </row>
    <row r="408" spans="1:3" s="913" customFormat="1" ht="12" customHeight="1">
      <c r="A408" s="914"/>
      <c r="C408" s="765"/>
    </row>
    <row r="409" spans="1:3" s="913" customFormat="1" ht="12" customHeight="1">
      <c r="A409" s="914"/>
      <c r="C409" s="765"/>
    </row>
    <row r="410" spans="1:3" s="913" customFormat="1" ht="12" customHeight="1">
      <c r="A410" s="914"/>
      <c r="C410" s="765"/>
    </row>
    <row r="411" spans="1:3" s="913" customFormat="1" ht="12" customHeight="1">
      <c r="A411" s="914"/>
      <c r="C411" s="765"/>
    </row>
    <row r="412" spans="1:3" s="913" customFormat="1" ht="12" customHeight="1">
      <c r="A412" s="914"/>
      <c r="C412" s="765"/>
    </row>
    <row r="413" spans="1:3" s="913" customFormat="1" ht="12" customHeight="1">
      <c r="A413" s="914"/>
      <c r="C413" s="765"/>
    </row>
    <row r="414" spans="1:3" s="913" customFormat="1" ht="12" customHeight="1">
      <c r="A414" s="914"/>
      <c r="C414" s="765"/>
    </row>
    <row r="415" spans="1:3" s="913" customFormat="1" ht="12" customHeight="1">
      <c r="A415" s="914"/>
      <c r="C415" s="765"/>
    </row>
    <row r="416" spans="1:3" s="913" customFormat="1" ht="12" customHeight="1">
      <c r="A416" s="914"/>
      <c r="C416" s="765"/>
    </row>
    <row r="417" spans="1:3" s="913" customFormat="1" ht="12" customHeight="1">
      <c r="A417" s="914"/>
      <c r="C417" s="765"/>
    </row>
    <row r="418" spans="1:3" s="913" customFormat="1" ht="12" customHeight="1">
      <c r="A418" s="914"/>
      <c r="C418" s="765"/>
    </row>
    <row r="419" spans="1:3" s="913" customFormat="1" ht="12" customHeight="1">
      <c r="A419" s="914"/>
      <c r="C419" s="765"/>
    </row>
    <row r="420" spans="1:3" s="913" customFormat="1" ht="12" customHeight="1">
      <c r="A420" s="914"/>
      <c r="C420" s="765"/>
    </row>
    <row r="421" spans="1:3" s="913" customFormat="1" ht="12" customHeight="1">
      <c r="A421" s="914"/>
      <c r="C421" s="765"/>
    </row>
    <row r="422" spans="1:3" s="913" customFormat="1" ht="12" customHeight="1">
      <c r="A422" s="914"/>
      <c r="C422" s="765"/>
    </row>
    <row r="423" spans="1:3" s="913" customFormat="1" ht="12" customHeight="1">
      <c r="A423" s="914"/>
      <c r="C423" s="765"/>
    </row>
    <row r="424" spans="1:3" s="913" customFormat="1" ht="12" customHeight="1">
      <c r="A424" s="914"/>
      <c r="C424" s="765"/>
    </row>
    <row r="425" spans="1:3" s="913" customFormat="1" ht="12" customHeight="1">
      <c r="A425" s="914"/>
      <c r="C425" s="765"/>
    </row>
    <row r="426" spans="1:3" s="913" customFormat="1" ht="12" customHeight="1">
      <c r="A426" s="914"/>
      <c r="C426" s="765"/>
    </row>
    <row r="427" spans="1:3" s="913" customFormat="1" ht="12" customHeight="1">
      <c r="A427" s="914"/>
      <c r="C427" s="765"/>
    </row>
    <row r="428" spans="1:3" s="913" customFormat="1" ht="12" customHeight="1">
      <c r="A428" s="914"/>
      <c r="C428" s="765"/>
    </row>
    <row r="429" spans="1:3" s="913" customFormat="1" ht="12" customHeight="1">
      <c r="A429" s="914"/>
      <c r="C429" s="765"/>
    </row>
    <row r="430" spans="1:3" s="913" customFormat="1" ht="12" customHeight="1">
      <c r="A430" s="914"/>
      <c r="C430" s="765"/>
    </row>
    <row r="431" spans="1:3" s="913" customFormat="1" ht="12" customHeight="1">
      <c r="A431" s="914"/>
      <c r="C431" s="765"/>
    </row>
    <row r="432" spans="1:3" s="913" customFormat="1" ht="12" customHeight="1">
      <c r="A432" s="914"/>
      <c r="C432" s="765"/>
    </row>
    <row r="433" spans="1:3" s="913" customFormat="1" ht="12" customHeight="1">
      <c r="A433" s="914"/>
      <c r="C433" s="765"/>
    </row>
    <row r="434" spans="1:3" s="913" customFormat="1" ht="12" customHeight="1">
      <c r="A434" s="914"/>
      <c r="C434" s="765"/>
    </row>
    <row r="435" spans="1:3" s="913" customFormat="1" ht="12" customHeight="1">
      <c r="A435" s="914"/>
      <c r="C435" s="765"/>
    </row>
    <row r="436" spans="1:3" s="913" customFormat="1" ht="12" customHeight="1">
      <c r="A436" s="914"/>
      <c r="C436" s="765"/>
    </row>
    <row r="437" spans="1:3" s="913" customFormat="1" ht="12" customHeight="1">
      <c r="A437" s="914"/>
      <c r="C437" s="765"/>
    </row>
    <row r="438" spans="1:3" s="913" customFormat="1" ht="12" customHeight="1">
      <c r="A438" s="914"/>
      <c r="C438" s="765"/>
    </row>
    <row r="439" spans="1:3" s="913" customFormat="1" ht="12" customHeight="1">
      <c r="A439" s="914"/>
      <c r="C439" s="765"/>
    </row>
    <row r="440" spans="1:3" s="913" customFormat="1" ht="12" customHeight="1">
      <c r="A440" s="914"/>
      <c r="C440" s="765"/>
    </row>
    <row r="441" spans="1:3" s="913" customFormat="1" ht="12" customHeight="1">
      <c r="A441" s="914"/>
      <c r="C441" s="765"/>
    </row>
    <row r="442" spans="1:3" s="913" customFormat="1" ht="12" customHeight="1">
      <c r="A442" s="914"/>
      <c r="C442" s="765"/>
    </row>
    <row r="443" spans="1:3" s="913" customFormat="1" ht="12" customHeight="1">
      <c r="A443" s="914"/>
      <c r="C443" s="765"/>
    </row>
    <row r="444" spans="1:3" s="913" customFormat="1" ht="12" customHeight="1">
      <c r="A444" s="914"/>
      <c r="C444" s="765"/>
    </row>
    <row r="445" spans="1:3" s="913" customFormat="1" ht="12" customHeight="1">
      <c r="A445" s="914"/>
      <c r="C445" s="765"/>
    </row>
    <row r="446" spans="1:3" s="913" customFormat="1" ht="12" customHeight="1">
      <c r="A446" s="914"/>
      <c r="C446" s="765"/>
    </row>
    <row r="447" spans="1:3" s="913" customFormat="1" ht="12" customHeight="1">
      <c r="A447" s="914"/>
      <c r="C447" s="765"/>
    </row>
    <row r="448" spans="1:3" s="913" customFormat="1" ht="12" customHeight="1">
      <c r="A448" s="914"/>
      <c r="C448" s="765"/>
    </row>
    <row r="449" spans="1:3" s="913" customFormat="1" ht="12" customHeight="1">
      <c r="A449" s="914"/>
      <c r="C449" s="765"/>
    </row>
    <row r="450" spans="1:3" s="913" customFormat="1" ht="12" customHeight="1">
      <c r="A450" s="914"/>
      <c r="C450" s="765"/>
    </row>
    <row r="451" spans="1:3" s="913" customFormat="1" ht="12" customHeight="1">
      <c r="A451" s="914"/>
      <c r="C451" s="765"/>
    </row>
    <row r="452" spans="1:3" s="913" customFormat="1" ht="12" customHeight="1">
      <c r="A452" s="914"/>
      <c r="C452" s="765"/>
    </row>
    <row r="453" spans="1:3" s="913" customFormat="1" ht="12" customHeight="1">
      <c r="A453" s="914"/>
      <c r="C453" s="765"/>
    </row>
    <row r="454" spans="1:3" s="913" customFormat="1" ht="12" customHeight="1">
      <c r="A454" s="914"/>
      <c r="C454" s="765"/>
    </row>
    <row r="455" spans="1:3" s="913" customFormat="1" ht="12" customHeight="1">
      <c r="A455" s="914"/>
      <c r="C455" s="765"/>
    </row>
    <row r="456" spans="1:3" s="913" customFormat="1" ht="12" customHeight="1">
      <c r="A456" s="914"/>
      <c r="C456" s="765"/>
    </row>
    <row r="457" spans="1:3" s="913" customFormat="1" ht="12" customHeight="1">
      <c r="A457" s="914"/>
      <c r="C457" s="765"/>
    </row>
    <row r="458" spans="1:3" s="913" customFormat="1" ht="12" customHeight="1">
      <c r="A458" s="914"/>
      <c r="C458" s="765"/>
    </row>
    <row r="459" spans="1:3" s="913" customFormat="1" ht="12" customHeight="1">
      <c r="A459" s="914"/>
      <c r="C459" s="765"/>
    </row>
    <row r="460" spans="1:3" s="913" customFormat="1" ht="12" customHeight="1">
      <c r="A460" s="914"/>
      <c r="C460" s="765"/>
    </row>
    <row r="461" spans="1:3" s="913" customFormat="1" ht="12" customHeight="1">
      <c r="A461" s="914"/>
      <c r="C461" s="765"/>
    </row>
    <row r="462" spans="1:3" s="913" customFormat="1" ht="12" customHeight="1">
      <c r="A462" s="914"/>
      <c r="C462" s="765"/>
    </row>
    <row r="463" spans="1:3" s="913" customFormat="1" ht="12" customHeight="1">
      <c r="A463" s="914"/>
      <c r="C463" s="765"/>
    </row>
    <row r="464" spans="1:3" s="913" customFormat="1" ht="12" customHeight="1">
      <c r="A464" s="914"/>
      <c r="C464" s="765"/>
    </row>
    <row r="465" spans="1:3" s="913" customFormat="1" ht="12" customHeight="1">
      <c r="A465" s="914"/>
      <c r="C465" s="765"/>
    </row>
    <row r="466" spans="1:3" s="913" customFormat="1" ht="12" customHeight="1">
      <c r="A466" s="914"/>
      <c r="C466" s="765"/>
    </row>
    <row r="467" spans="1:3" s="913" customFormat="1" ht="12" customHeight="1">
      <c r="A467" s="914"/>
      <c r="C467" s="765"/>
    </row>
    <row r="468" spans="1:3" s="913" customFormat="1" ht="12" customHeight="1">
      <c r="A468" s="914"/>
      <c r="C468" s="765"/>
    </row>
    <row r="469" spans="1:3" s="913" customFormat="1" ht="12" customHeight="1">
      <c r="A469" s="914"/>
      <c r="C469" s="765"/>
    </row>
    <row r="470" spans="1:3" s="913" customFormat="1" ht="12" customHeight="1">
      <c r="A470" s="914"/>
      <c r="C470" s="765"/>
    </row>
    <row r="471" spans="1:3" s="913" customFormat="1" ht="12" customHeight="1">
      <c r="A471" s="914"/>
      <c r="C471" s="765"/>
    </row>
    <row r="472" spans="1:3" s="913" customFormat="1" ht="12" customHeight="1">
      <c r="A472" s="914"/>
      <c r="C472" s="765"/>
    </row>
    <row r="473" spans="1:3" s="913" customFormat="1" ht="12" customHeight="1">
      <c r="A473" s="914"/>
      <c r="C473" s="765"/>
    </row>
    <row r="474" spans="1:3" s="913" customFormat="1" ht="12" customHeight="1">
      <c r="A474" s="914"/>
      <c r="C474" s="765"/>
    </row>
    <row r="475" spans="1:3" s="913" customFormat="1" ht="12" customHeight="1">
      <c r="A475" s="914"/>
      <c r="C475" s="765"/>
    </row>
    <row r="476" spans="1:3" s="913" customFormat="1" ht="12" customHeight="1">
      <c r="A476" s="914"/>
      <c r="C476" s="765"/>
    </row>
    <row r="477" spans="1:3" s="913" customFormat="1" ht="12" customHeight="1">
      <c r="A477" s="914"/>
      <c r="C477" s="765"/>
    </row>
    <row r="478" spans="1:3" s="913" customFormat="1" ht="12" customHeight="1">
      <c r="A478" s="914"/>
      <c r="C478" s="765"/>
    </row>
    <row r="479" spans="1:3" s="913" customFormat="1" ht="12" customHeight="1">
      <c r="A479" s="914"/>
      <c r="C479" s="765"/>
    </row>
    <row r="480" spans="1:3" s="913" customFormat="1" ht="12" customHeight="1">
      <c r="A480" s="914"/>
      <c r="C480" s="765"/>
    </row>
    <row r="481" spans="1:3" s="913" customFormat="1" ht="12" customHeight="1">
      <c r="A481" s="914"/>
      <c r="C481" s="765"/>
    </row>
    <row r="482" spans="1:3" s="913" customFormat="1" ht="12" customHeight="1">
      <c r="A482" s="914"/>
      <c r="C482" s="765"/>
    </row>
    <row r="483" spans="1:3" s="913" customFormat="1" ht="12" customHeight="1">
      <c r="A483" s="914"/>
      <c r="C483" s="765"/>
    </row>
    <row r="484" spans="1:3" s="913" customFormat="1" ht="12" customHeight="1">
      <c r="A484" s="914"/>
      <c r="C484" s="765"/>
    </row>
    <row r="485" spans="1:3" s="913" customFormat="1" ht="12" customHeight="1">
      <c r="A485" s="914"/>
      <c r="C485" s="765"/>
    </row>
    <row r="486" spans="1:3" s="913" customFormat="1" ht="12" customHeight="1">
      <c r="A486" s="914"/>
      <c r="C486" s="765"/>
    </row>
    <row r="487" spans="1:3" s="913" customFormat="1" ht="12" customHeight="1">
      <c r="A487" s="914"/>
      <c r="C487" s="765"/>
    </row>
    <row r="488" spans="1:3" s="913" customFormat="1" ht="12" customHeight="1">
      <c r="A488" s="914"/>
      <c r="C488" s="765"/>
    </row>
    <row r="489" spans="1:3" s="913" customFormat="1" ht="12" customHeight="1">
      <c r="A489" s="914"/>
      <c r="C489" s="765"/>
    </row>
    <row r="490" spans="1:3" s="913" customFormat="1" ht="12" customHeight="1">
      <c r="A490" s="914"/>
      <c r="C490" s="765"/>
    </row>
    <row r="491" spans="1:3" s="913" customFormat="1" ht="12" customHeight="1">
      <c r="A491" s="914"/>
      <c r="C491" s="765"/>
    </row>
    <row r="492" spans="1:3" s="913" customFormat="1" ht="12" customHeight="1">
      <c r="A492" s="914"/>
      <c r="C492" s="765"/>
    </row>
    <row r="493" spans="1:3" s="913" customFormat="1" ht="12" customHeight="1">
      <c r="A493" s="914"/>
      <c r="C493" s="765"/>
    </row>
    <row r="494" spans="1:3" s="913" customFormat="1" ht="12" customHeight="1">
      <c r="A494" s="914"/>
      <c r="C494" s="765"/>
    </row>
    <row r="495" spans="1:3" s="913" customFormat="1" ht="12" customHeight="1">
      <c r="A495" s="914"/>
      <c r="C495" s="765"/>
    </row>
    <row r="496" spans="1:3" s="913" customFormat="1" ht="12" customHeight="1">
      <c r="A496" s="914"/>
      <c r="C496" s="765"/>
    </row>
    <row r="497" spans="1:3" s="913" customFormat="1" ht="12" customHeight="1">
      <c r="A497" s="914"/>
      <c r="C497" s="765"/>
    </row>
    <row r="498" spans="1:3" s="913" customFormat="1" ht="12" customHeight="1">
      <c r="A498" s="914"/>
      <c r="C498" s="765"/>
    </row>
    <row r="499" spans="1:3" s="913" customFormat="1" ht="12" customHeight="1">
      <c r="A499" s="914"/>
      <c r="C499" s="765"/>
    </row>
    <row r="500" spans="1:3" s="913" customFormat="1" ht="12" customHeight="1">
      <c r="A500" s="914"/>
      <c r="C500" s="765"/>
    </row>
    <row r="501" spans="1:3" s="913" customFormat="1" ht="12" customHeight="1">
      <c r="A501" s="914"/>
      <c r="C501" s="765"/>
    </row>
    <row r="502" spans="1:3" s="913" customFormat="1" ht="12" customHeight="1">
      <c r="A502" s="914"/>
      <c r="C502" s="765"/>
    </row>
    <row r="503" spans="1:3" s="913" customFormat="1" ht="12" customHeight="1">
      <c r="A503" s="914"/>
      <c r="C503" s="765"/>
    </row>
    <row r="504" spans="1:3" s="913" customFormat="1" ht="12" customHeight="1">
      <c r="A504" s="914"/>
      <c r="C504" s="765"/>
    </row>
    <row r="505" spans="1:3" s="913" customFormat="1" ht="12" customHeight="1">
      <c r="A505" s="914"/>
      <c r="C505" s="765"/>
    </row>
    <row r="506" spans="1:3" s="913" customFormat="1" ht="12" customHeight="1">
      <c r="A506" s="914"/>
      <c r="C506" s="765"/>
    </row>
    <row r="507" spans="1:3" s="913" customFormat="1" ht="12" customHeight="1">
      <c r="A507" s="914"/>
      <c r="C507" s="765"/>
    </row>
    <row r="508" spans="1:3" s="913" customFormat="1" ht="12" customHeight="1">
      <c r="A508" s="914"/>
      <c r="C508" s="765"/>
    </row>
    <row r="509" spans="1:3" s="913" customFormat="1" ht="12" customHeight="1">
      <c r="A509" s="914"/>
      <c r="C509" s="765"/>
    </row>
    <row r="510" spans="1:3" s="913" customFormat="1" ht="12" customHeight="1">
      <c r="A510" s="914"/>
      <c r="C510" s="765"/>
    </row>
    <row r="511" spans="1:3" s="913" customFormat="1" ht="12" customHeight="1">
      <c r="A511" s="914"/>
      <c r="C511" s="765"/>
    </row>
    <row r="512" spans="1:3" s="913" customFormat="1" ht="12" customHeight="1">
      <c r="A512" s="914"/>
      <c r="C512" s="765"/>
    </row>
    <row r="513" spans="1:3" s="913" customFormat="1" ht="12" customHeight="1">
      <c r="A513" s="914"/>
      <c r="C513" s="765"/>
    </row>
    <row r="514" spans="1:3" s="913" customFormat="1" ht="12" customHeight="1">
      <c r="A514" s="914"/>
      <c r="C514" s="765"/>
    </row>
    <row r="515" spans="1:3" s="913" customFormat="1" ht="12" customHeight="1">
      <c r="A515" s="914"/>
      <c r="C515" s="765"/>
    </row>
    <row r="516" spans="1:3" s="913" customFormat="1" ht="12" customHeight="1">
      <c r="A516" s="914"/>
      <c r="C516" s="765"/>
    </row>
    <row r="517" spans="1:3" s="913" customFormat="1" ht="12" customHeight="1">
      <c r="A517" s="914"/>
      <c r="C517" s="765"/>
    </row>
    <row r="518" spans="1:3" s="913" customFormat="1" ht="12" customHeight="1">
      <c r="A518" s="914"/>
      <c r="C518" s="765"/>
    </row>
    <row r="519" spans="1:3" s="913" customFormat="1" ht="12" customHeight="1">
      <c r="A519" s="914"/>
      <c r="C519" s="765"/>
    </row>
    <row r="520" spans="1:3" s="913" customFormat="1" ht="12" customHeight="1">
      <c r="A520" s="914"/>
      <c r="C520" s="765"/>
    </row>
    <row r="521" spans="1:3" s="913" customFormat="1" ht="12" customHeight="1">
      <c r="A521" s="914"/>
      <c r="C521" s="765"/>
    </row>
    <row r="522" spans="1:3" s="913" customFormat="1" ht="12" customHeight="1">
      <c r="A522" s="914"/>
      <c r="C522" s="765"/>
    </row>
    <row r="523" spans="1:3" s="913" customFormat="1" ht="12" customHeight="1">
      <c r="A523" s="914"/>
      <c r="C523" s="765"/>
    </row>
    <row r="524" spans="1:3" s="913" customFormat="1" ht="12" customHeight="1">
      <c r="A524" s="914"/>
      <c r="C524" s="765"/>
    </row>
    <row r="525" spans="1:3" s="913" customFormat="1" ht="12" customHeight="1">
      <c r="A525" s="914"/>
      <c r="C525" s="765"/>
    </row>
    <row r="526" spans="1:3" s="913" customFormat="1" ht="12" customHeight="1">
      <c r="A526" s="914"/>
      <c r="C526" s="765"/>
    </row>
    <row r="527" spans="1:3" s="913" customFormat="1" ht="12" customHeight="1">
      <c r="A527" s="914"/>
      <c r="C527" s="765"/>
    </row>
    <row r="528" spans="1:3" s="913" customFormat="1" ht="12" customHeight="1">
      <c r="A528" s="914"/>
      <c r="C528" s="765"/>
    </row>
    <row r="529" spans="1:3" s="913" customFormat="1" ht="12" customHeight="1">
      <c r="A529" s="914"/>
      <c r="C529" s="765"/>
    </row>
    <row r="530" spans="1:3" s="913" customFormat="1" ht="12" customHeight="1">
      <c r="A530" s="914"/>
      <c r="C530" s="765"/>
    </row>
    <row r="531" spans="1:3" s="913" customFormat="1" ht="12" customHeight="1">
      <c r="A531" s="914"/>
      <c r="C531" s="765"/>
    </row>
    <row r="532" spans="1:3" s="913" customFormat="1" ht="12" customHeight="1">
      <c r="A532" s="914"/>
      <c r="C532" s="765"/>
    </row>
    <row r="533" spans="1:3" s="913" customFormat="1" ht="12" customHeight="1">
      <c r="A533" s="914"/>
      <c r="C533" s="765"/>
    </row>
    <row r="534" spans="1:3" s="913" customFormat="1" ht="12" customHeight="1">
      <c r="A534" s="914"/>
      <c r="C534" s="765"/>
    </row>
    <row r="535" spans="1:3" s="913" customFormat="1" ht="12" customHeight="1">
      <c r="A535" s="914"/>
      <c r="C535" s="765"/>
    </row>
    <row r="536" spans="1:3" s="913" customFormat="1" ht="12" customHeight="1">
      <c r="A536" s="914"/>
      <c r="C536" s="765"/>
    </row>
    <row r="537" spans="1:3" s="913" customFormat="1" ht="12" customHeight="1">
      <c r="A537" s="914"/>
      <c r="C537" s="765"/>
    </row>
    <row r="538" spans="1:3" s="913" customFormat="1" ht="12" customHeight="1">
      <c r="A538" s="914"/>
      <c r="C538" s="765"/>
    </row>
    <row r="539" spans="1:3" s="913" customFormat="1" ht="12" customHeight="1">
      <c r="A539" s="914"/>
      <c r="C539" s="765"/>
    </row>
    <row r="540" spans="1:3" s="913" customFormat="1" ht="12" customHeight="1">
      <c r="A540" s="914"/>
      <c r="C540" s="765"/>
    </row>
    <row r="541" spans="1:3" s="913" customFormat="1" ht="12" customHeight="1">
      <c r="A541" s="914"/>
      <c r="C541" s="765"/>
    </row>
    <row r="542" spans="1:3" s="913" customFormat="1" ht="12" customHeight="1">
      <c r="A542" s="914"/>
      <c r="C542" s="765"/>
    </row>
    <row r="543" spans="1:3" s="913" customFormat="1" ht="12" customHeight="1">
      <c r="A543" s="914"/>
      <c r="C543" s="765"/>
    </row>
    <row r="544" spans="1:3" s="913" customFormat="1" ht="12" customHeight="1">
      <c r="A544" s="914"/>
      <c r="C544" s="765"/>
    </row>
    <row r="545" spans="1:3" s="913" customFormat="1" ht="12" customHeight="1">
      <c r="A545" s="914"/>
      <c r="C545" s="765"/>
    </row>
    <row r="546" spans="1:3" s="913" customFormat="1" ht="12" customHeight="1">
      <c r="A546" s="914"/>
      <c r="C546" s="765"/>
    </row>
    <row r="547" spans="1:3" s="913" customFormat="1" ht="12" customHeight="1">
      <c r="A547" s="914"/>
      <c r="C547" s="765"/>
    </row>
    <row r="548" spans="1:3" s="913" customFormat="1" ht="12" customHeight="1">
      <c r="A548" s="914"/>
      <c r="C548" s="765"/>
    </row>
    <row r="549" spans="1:3" s="913" customFormat="1" ht="12" customHeight="1">
      <c r="A549" s="914"/>
      <c r="C549" s="765"/>
    </row>
    <row r="550" spans="1:3" s="913" customFormat="1" ht="12" customHeight="1">
      <c r="A550" s="914"/>
      <c r="C550" s="765"/>
    </row>
    <row r="551" spans="1:3" s="913" customFormat="1" ht="12" customHeight="1">
      <c r="A551" s="914"/>
      <c r="C551" s="765"/>
    </row>
    <row r="552" spans="1:3" s="913" customFormat="1" ht="12" customHeight="1">
      <c r="A552" s="914"/>
      <c r="C552" s="765"/>
    </row>
    <row r="553" spans="1:3" s="913" customFormat="1" ht="12" customHeight="1">
      <c r="A553" s="914"/>
      <c r="C553" s="765"/>
    </row>
    <row r="554" spans="1:3" s="913" customFormat="1" ht="12" customHeight="1">
      <c r="A554" s="914"/>
      <c r="C554" s="765"/>
    </row>
    <row r="555" spans="1:3" s="913" customFormat="1" ht="12" customHeight="1">
      <c r="A555" s="914"/>
      <c r="C555" s="765"/>
    </row>
    <row r="556" spans="1:3" s="913" customFormat="1" ht="12" customHeight="1">
      <c r="A556" s="914"/>
      <c r="C556" s="765"/>
    </row>
    <row r="557" spans="1:3" s="913" customFormat="1" ht="12" customHeight="1">
      <c r="A557" s="914"/>
      <c r="C557" s="765"/>
    </row>
    <row r="558" spans="1:3" s="913" customFormat="1" ht="12" customHeight="1">
      <c r="A558" s="914"/>
      <c r="C558" s="765"/>
    </row>
    <row r="559" spans="1:3" s="913" customFormat="1" ht="12" customHeight="1">
      <c r="A559" s="914"/>
      <c r="C559" s="765"/>
    </row>
    <row r="560" spans="1:3" s="913" customFormat="1" ht="12" customHeight="1">
      <c r="A560" s="914"/>
      <c r="C560" s="765"/>
    </row>
    <row r="561" spans="1:3" s="913" customFormat="1" ht="12" customHeight="1">
      <c r="A561" s="914"/>
      <c r="C561" s="765"/>
    </row>
    <row r="562" spans="1:3" s="913" customFormat="1" ht="12" customHeight="1">
      <c r="A562" s="914"/>
      <c r="C562" s="765"/>
    </row>
    <row r="563" spans="1:3" s="913" customFormat="1" ht="12" customHeight="1">
      <c r="A563" s="914"/>
      <c r="C563" s="765"/>
    </row>
    <row r="564" spans="1:3" s="913" customFormat="1" ht="12" customHeight="1">
      <c r="A564" s="914"/>
      <c r="C564" s="765"/>
    </row>
    <row r="565" spans="1:3" s="913" customFormat="1" ht="12" customHeight="1">
      <c r="A565" s="914"/>
      <c r="C565" s="765"/>
    </row>
    <row r="566" spans="1:3" s="913" customFormat="1" ht="12" customHeight="1">
      <c r="A566" s="914"/>
      <c r="C566" s="765"/>
    </row>
    <row r="567" spans="1:3" s="913" customFormat="1" ht="12" customHeight="1">
      <c r="A567" s="914"/>
      <c r="C567" s="765"/>
    </row>
    <row r="568" spans="1:3" s="913" customFormat="1" ht="12" customHeight="1">
      <c r="A568" s="914"/>
      <c r="C568" s="765"/>
    </row>
    <row r="569" spans="1:3" s="913" customFormat="1" ht="12" customHeight="1">
      <c r="A569" s="914"/>
      <c r="C569" s="765"/>
    </row>
    <row r="570" spans="1:3" s="913" customFormat="1" ht="12" customHeight="1">
      <c r="A570" s="914"/>
      <c r="C570" s="765"/>
    </row>
    <row r="571" spans="1:3" s="913" customFormat="1" ht="12" customHeight="1">
      <c r="A571" s="914"/>
      <c r="C571" s="765"/>
    </row>
    <row r="572" spans="1:3" s="913" customFormat="1" ht="12" customHeight="1">
      <c r="A572" s="914"/>
      <c r="C572" s="765"/>
    </row>
    <row r="573" spans="1:3" s="913" customFormat="1" ht="12" customHeight="1">
      <c r="A573" s="914"/>
      <c r="C573" s="765"/>
    </row>
    <row r="574" spans="1:3" s="913" customFormat="1" ht="12" customHeight="1">
      <c r="A574" s="914"/>
      <c r="C574" s="765"/>
    </row>
    <row r="575" spans="1:3" s="913" customFormat="1" ht="12" customHeight="1">
      <c r="A575" s="914"/>
      <c r="C575" s="765"/>
    </row>
    <row r="576" spans="1:3" s="913" customFormat="1" ht="12" customHeight="1">
      <c r="A576" s="914"/>
      <c r="C576" s="765"/>
    </row>
    <row r="577" spans="1:3" s="913" customFormat="1" ht="12" customHeight="1">
      <c r="A577" s="914"/>
      <c r="C577" s="765"/>
    </row>
    <row r="578" spans="1:3" s="913" customFormat="1" ht="12" customHeight="1">
      <c r="A578" s="914"/>
      <c r="C578" s="765"/>
    </row>
    <row r="579" spans="1:3" s="913" customFormat="1" ht="12" customHeight="1">
      <c r="A579" s="914"/>
      <c r="C579" s="765"/>
    </row>
    <row r="580" spans="1:3" s="913" customFormat="1" ht="12" customHeight="1">
      <c r="A580" s="914"/>
      <c r="C580" s="765"/>
    </row>
    <row r="581" spans="1:3" s="913" customFormat="1" ht="12" customHeight="1">
      <c r="A581" s="914"/>
      <c r="C581" s="765"/>
    </row>
    <row r="582" spans="1:3" s="913" customFormat="1" ht="12" customHeight="1">
      <c r="A582" s="914"/>
      <c r="C582" s="765"/>
    </row>
    <row r="583" spans="1:3" s="913" customFormat="1" ht="12" customHeight="1">
      <c r="A583" s="914"/>
      <c r="C583" s="765"/>
    </row>
    <row r="584" spans="1:3" s="913" customFormat="1" ht="12" customHeight="1">
      <c r="A584" s="914"/>
      <c r="C584" s="765"/>
    </row>
    <row r="585" spans="1:3" s="913" customFormat="1" ht="12" customHeight="1">
      <c r="A585" s="914"/>
      <c r="C585" s="765"/>
    </row>
    <row r="586" spans="1:3" s="913" customFormat="1" ht="12" customHeight="1">
      <c r="A586" s="914"/>
      <c r="C586" s="765"/>
    </row>
    <row r="587" spans="1:3" s="913" customFormat="1" ht="12" customHeight="1">
      <c r="A587" s="914"/>
      <c r="C587" s="765"/>
    </row>
    <row r="588" spans="1:3" s="913" customFormat="1" ht="12" customHeight="1">
      <c r="A588" s="914"/>
      <c r="C588" s="765"/>
    </row>
    <row r="589" spans="1:3" s="913" customFormat="1" ht="12" customHeight="1">
      <c r="A589" s="914"/>
      <c r="C589" s="765"/>
    </row>
    <row r="590" spans="1:3" s="913" customFormat="1" ht="12" customHeight="1">
      <c r="A590" s="914"/>
      <c r="C590" s="765"/>
    </row>
    <row r="591" spans="1:3" s="913" customFormat="1" ht="12" customHeight="1">
      <c r="A591" s="914"/>
      <c r="C591" s="765"/>
    </row>
    <row r="592" spans="1:3" s="913" customFormat="1" ht="12" customHeight="1">
      <c r="A592" s="914"/>
      <c r="C592" s="765"/>
    </row>
    <row r="593" spans="1:3" s="913" customFormat="1" ht="12" customHeight="1">
      <c r="A593" s="914"/>
      <c r="C593" s="765"/>
    </row>
    <row r="594" spans="1:3" s="913" customFormat="1" ht="12" customHeight="1">
      <c r="A594" s="914"/>
      <c r="C594" s="765"/>
    </row>
    <row r="595" spans="1:3" s="913" customFormat="1" ht="12" customHeight="1">
      <c r="A595" s="914"/>
      <c r="C595" s="765"/>
    </row>
    <row r="596" spans="1:3" s="913" customFormat="1" ht="12" customHeight="1">
      <c r="A596" s="914"/>
      <c r="C596" s="765"/>
    </row>
    <row r="597" spans="1:3" s="913" customFormat="1" ht="12" customHeight="1">
      <c r="A597" s="914"/>
      <c r="C597" s="765"/>
    </row>
    <row r="598" spans="1:3" s="913" customFormat="1" ht="12" customHeight="1">
      <c r="A598" s="914"/>
      <c r="C598" s="765"/>
    </row>
    <row r="599" spans="1:3" s="913" customFormat="1" ht="12" customHeight="1">
      <c r="A599" s="914"/>
      <c r="C599" s="765"/>
    </row>
    <row r="600" spans="1:3" s="913" customFormat="1" ht="12" customHeight="1">
      <c r="A600" s="914"/>
      <c r="C600" s="765"/>
    </row>
    <row r="601" spans="1:3" s="913" customFormat="1" ht="12" customHeight="1">
      <c r="A601" s="914"/>
      <c r="C601" s="765"/>
    </row>
    <row r="602" spans="1:3" s="913" customFormat="1" ht="12" customHeight="1">
      <c r="A602" s="914"/>
      <c r="C602" s="765"/>
    </row>
    <row r="603" spans="1:3" s="913" customFormat="1" ht="12" customHeight="1">
      <c r="A603" s="914"/>
      <c r="C603" s="765"/>
    </row>
    <row r="604" spans="1:3" s="913" customFormat="1" ht="12" customHeight="1">
      <c r="A604" s="914"/>
      <c r="C604" s="765"/>
    </row>
    <row r="605" spans="1:3" s="913" customFormat="1" ht="12" customHeight="1">
      <c r="A605" s="914"/>
      <c r="C605" s="765"/>
    </row>
    <row r="606" spans="1:3" s="913" customFormat="1" ht="12" customHeight="1">
      <c r="A606" s="914"/>
      <c r="C606" s="765"/>
    </row>
    <row r="607" spans="1:3" s="913" customFormat="1" ht="12" customHeight="1">
      <c r="A607" s="914"/>
      <c r="C607" s="765"/>
    </row>
    <row r="608" spans="1:3" s="913" customFormat="1" ht="12" customHeight="1">
      <c r="A608" s="914"/>
      <c r="C608" s="765"/>
    </row>
    <row r="609" spans="1:3" s="913" customFormat="1" ht="12" customHeight="1">
      <c r="A609" s="914"/>
      <c r="C609" s="765"/>
    </row>
    <row r="610" spans="1:3" s="913" customFormat="1" ht="12" customHeight="1">
      <c r="A610" s="914"/>
      <c r="C610" s="765"/>
    </row>
    <row r="611" spans="1:3" s="913" customFormat="1" ht="12" customHeight="1">
      <c r="A611" s="914"/>
      <c r="C611" s="765"/>
    </row>
    <row r="612" spans="1:3" s="913" customFormat="1" ht="12" customHeight="1">
      <c r="A612" s="914"/>
      <c r="C612" s="765"/>
    </row>
    <row r="613" spans="1:3" s="913" customFormat="1" ht="12" customHeight="1">
      <c r="A613" s="914"/>
      <c r="C613" s="765"/>
    </row>
    <row r="614" spans="1:3" s="913" customFormat="1" ht="12" customHeight="1">
      <c r="A614" s="914"/>
      <c r="C614" s="765"/>
    </row>
    <row r="615" spans="1:3" s="913" customFormat="1" ht="12" customHeight="1">
      <c r="A615" s="914"/>
      <c r="C615" s="765"/>
    </row>
    <row r="616" spans="1:3" s="913" customFormat="1" ht="12" customHeight="1">
      <c r="A616" s="914"/>
      <c r="C616" s="765"/>
    </row>
    <row r="617" spans="1:3" s="913" customFormat="1" ht="12" customHeight="1">
      <c r="A617" s="914"/>
      <c r="C617" s="765"/>
    </row>
    <row r="618" spans="1:3" s="913" customFormat="1" ht="12" customHeight="1">
      <c r="A618" s="914"/>
      <c r="C618" s="765"/>
    </row>
    <row r="619" spans="1:3" s="913" customFormat="1" ht="12" customHeight="1">
      <c r="A619" s="914"/>
      <c r="C619" s="765"/>
    </row>
    <row r="620" spans="1:3" s="913" customFormat="1" ht="12" customHeight="1">
      <c r="A620" s="914"/>
      <c r="C620" s="765"/>
    </row>
    <row r="621" spans="1:3" s="913" customFormat="1" ht="12" customHeight="1">
      <c r="A621" s="914"/>
      <c r="C621" s="765"/>
    </row>
    <row r="622" spans="1:3" s="913" customFormat="1" ht="12" customHeight="1">
      <c r="A622" s="914"/>
      <c r="C622" s="765"/>
    </row>
    <row r="623" spans="1:3" s="913" customFormat="1" ht="12" customHeight="1">
      <c r="A623" s="914"/>
      <c r="C623" s="765"/>
    </row>
    <row r="624" spans="1:3" s="913" customFormat="1" ht="12" customHeight="1">
      <c r="A624" s="914"/>
      <c r="C624" s="765"/>
    </row>
    <row r="625" spans="1:3" s="913" customFormat="1" ht="12" customHeight="1">
      <c r="A625" s="914"/>
      <c r="C625" s="765"/>
    </row>
    <row r="626" spans="1:3" s="913" customFormat="1" ht="12" customHeight="1">
      <c r="A626" s="914"/>
      <c r="C626" s="765"/>
    </row>
    <row r="627" spans="1:3" s="913" customFormat="1" ht="12" customHeight="1">
      <c r="A627" s="914"/>
      <c r="C627" s="765"/>
    </row>
    <row r="628" spans="1:3" s="913" customFormat="1" ht="12" customHeight="1">
      <c r="A628" s="914"/>
      <c r="C628" s="765"/>
    </row>
    <row r="629" spans="1:3" s="913" customFormat="1" ht="12" customHeight="1">
      <c r="A629" s="914"/>
      <c r="C629" s="765"/>
    </row>
    <row r="630" spans="1:3" s="913" customFormat="1" ht="12" customHeight="1">
      <c r="A630" s="914"/>
      <c r="C630" s="765"/>
    </row>
    <row r="631" spans="1:3" s="913" customFormat="1" ht="12" customHeight="1">
      <c r="A631" s="914"/>
      <c r="C631" s="765"/>
    </row>
    <row r="632" spans="1:3" s="913" customFormat="1" ht="12" customHeight="1">
      <c r="A632" s="914"/>
      <c r="C632" s="765"/>
    </row>
    <row r="633" spans="1:3" s="913" customFormat="1" ht="12" customHeight="1">
      <c r="A633" s="914"/>
      <c r="C633" s="765"/>
    </row>
    <row r="634" spans="1:3" s="913" customFormat="1" ht="12" customHeight="1">
      <c r="A634" s="914"/>
      <c r="C634" s="765"/>
    </row>
    <row r="635" spans="1:3" s="913" customFormat="1" ht="12" customHeight="1">
      <c r="A635" s="914"/>
      <c r="C635" s="765"/>
    </row>
    <row r="636" spans="1:3" s="913" customFormat="1" ht="12" customHeight="1">
      <c r="A636" s="914"/>
      <c r="C636" s="765"/>
    </row>
    <row r="637" spans="1:3" s="913" customFormat="1" ht="12" customHeight="1">
      <c r="A637" s="914"/>
      <c r="C637" s="765"/>
    </row>
    <row r="638" spans="1:3" s="913" customFormat="1" ht="12" customHeight="1">
      <c r="A638" s="914"/>
      <c r="C638" s="765"/>
    </row>
    <row r="639" spans="1:3" s="913" customFormat="1" ht="12" customHeight="1">
      <c r="A639" s="914"/>
      <c r="C639" s="765"/>
    </row>
    <row r="640" spans="1:3" s="913" customFormat="1" ht="12" customHeight="1">
      <c r="A640" s="914"/>
      <c r="C640" s="765"/>
    </row>
    <row r="641" spans="1:3" s="913" customFormat="1" ht="12" customHeight="1">
      <c r="A641" s="914"/>
      <c r="C641" s="765"/>
    </row>
    <row r="642" spans="1:3" s="913" customFormat="1" ht="12" customHeight="1">
      <c r="A642" s="914"/>
      <c r="C642" s="765"/>
    </row>
    <row r="643" spans="1:3" s="913" customFormat="1" ht="12" customHeight="1">
      <c r="A643" s="914"/>
      <c r="C643" s="765"/>
    </row>
    <row r="644" spans="1:3" s="913" customFormat="1" ht="12" customHeight="1">
      <c r="A644" s="914"/>
      <c r="C644" s="765"/>
    </row>
    <row r="645" spans="1:3" s="913" customFormat="1" ht="12" customHeight="1">
      <c r="A645" s="914"/>
      <c r="C645" s="765"/>
    </row>
    <row r="646" spans="1:3" s="913" customFormat="1" ht="12" customHeight="1">
      <c r="A646" s="914"/>
      <c r="C646" s="765"/>
    </row>
    <row r="647" spans="1:3" s="913" customFormat="1" ht="12" customHeight="1">
      <c r="A647" s="914"/>
      <c r="C647" s="765"/>
    </row>
    <row r="648" spans="1:3" s="913" customFormat="1" ht="12" customHeight="1">
      <c r="A648" s="914"/>
      <c r="C648" s="765"/>
    </row>
    <row r="649" spans="1:3" s="913" customFormat="1" ht="12" customHeight="1">
      <c r="A649" s="914"/>
      <c r="C649" s="765"/>
    </row>
    <row r="650" spans="1:3" s="913" customFormat="1" ht="12" customHeight="1">
      <c r="A650" s="914"/>
      <c r="C650" s="765"/>
    </row>
    <row r="651" spans="1:3" s="913" customFormat="1" ht="12" customHeight="1">
      <c r="A651" s="914"/>
      <c r="C651" s="765"/>
    </row>
    <row r="652" spans="1:3" s="913" customFormat="1" ht="12" customHeight="1">
      <c r="A652" s="914"/>
      <c r="C652" s="765"/>
    </row>
    <row r="653" spans="1:3" s="913" customFormat="1" ht="12" customHeight="1">
      <c r="A653" s="914"/>
      <c r="C653" s="765"/>
    </row>
    <row r="654" spans="1:3" s="913" customFormat="1" ht="12" customHeight="1">
      <c r="A654" s="914"/>
      <c r="C654" s="765"/>
    </row>
    <row r="655" spans="1:3" s="913" customFormat="1" ht="12" customHeight="1">
      <c r="A655" s="914"/>
      <c r="C655" s="765"/>
    </row>
    <row r="656" spans="1:3" s="913" customFormat="1" ht="12" customHeight="1">
      <c r="A656" s="914"/>
      <c r="C656" s="765"/>
    </row>
    <row r="657" spans="1:3" s="913" customFormat="1" ht="12" customHeight="1">
      <c r="A657" s="914"/>
      <c r="C657" s="765"/>
    </row>
    <row r="658" spans="1:3" s="913" customFormat="1" ht="12" customHeight="1">
      <c r="A658" s="914"/>
      <c r="C658" s="765"/>
    </row>
    <row r="659" spans="1:3" s="913" customFormat="1" ht="12" customHeight="1">
      <c r="A659" s="914"/>
      <c r="C659" s="765"/>
    </row>
    <row r="660" spans="1:3" s="913" customFormat="1" ht="12" customHeight="1">
      <c r="A660" s="914"/>
      <c r="C660" s="765"/>
    </row>
    <row r="661" spans="1:3" s="913" customFormat="1" ht="12" customHeight="1">
      <c r="A661" s="914"/>
      <c r="C661" s="765"/>
    </row>
    <row r="662" spans="1:3" s="913" customFormat="1" ht="12" customHeight="1">
      <c r="A662" s="914"/>
      <c r="C662" s="765"/>
    </row>
    <row r="663" spans="1:3" s="913" customFormat="1" ht="12" customHeight="1">
      <c r="A663" s="914"/>
      <c r="C663" s="765"/>
    </row>
    <row r="664" spans="1:3" s="913" customFormat="1" ht="12" customHeight="1">
      <c r="A664" s="914"/>
      <c r="C664" s="765"/>
    </row>
    <row r="665" spans="1:3" s="913" customFormat="1" ht="12" customHeight="1">
      <c r="A665" s="914"/>
      <c r="C665" s="765"/>
    </row>
    <row r="666" spans="1:3" s="913" customFormat="1" ht="12" customHeight="1">
      <c r="A666" s="914"/>
      <c r="C666" s="765"/>
    </row>
    <row r="667" spans="1:3" s="913" customFormat="1" ht="12" customHeight="1">
      <c r="A667" s="914"/>
      <c r="C667" s="765"/>
    </row>
    <row r="668" spans="1:3" s="913" customFormat="1" ht="12" customHeight="1">
      <c r="A668" s="914"/>
      <c r="C668" s="765"/>
    </row>
    <row r="669" spans="1:3" s="913" customFormat="1" ht="12" customHeight="1">
      <c r="A669" s="914"/>
      <c r="C669" s="765"/>
    </row>
    <row r="670" spans="1:3" s="913" customFormat="1" ht="12" customHeight="1">
      <c r="A670" s="914"/>
      <c r="C670" s="765"/>
    </row>
    <row r="671" spans="1:3" s="913" customFormat="1" ht="12" customHeight="1">
      <c r="A671" s="914"/>
      <c r="C671" s="765"/>
    </row>
    <row r="672" spans="1:3" s="913" customFormat="1" ht="12" customHeight="1">
      <c r="A672" s="914"/>
      <c r="C672" s="765"/>
    </row>
    <row r="673" spans="1:3" s="913" customFormat="1" ht="12" customHeight="1">
      <c r="A673" s="914"/>
      <c r="C673" s="765"/>
    </row>
    <row r="674" spans="1:3" s="913" customFormat="1" ht="12" customHeight="1">
      <c r="A674" s="914"/>
      <c r="C674" s="765"/>
    </row>
    <row r="675" spans="1:3" s="913" customFormat="1" ht="12" customHeight="1">
      <c r="A675" s="914"/>
      <c r="C675" s="765"/>
    </row>
    <row r="676" spans="1:3" s="913" customFormat="1" ht="12" customHeight="1">
      <c r="A676" s="914"/>
      <c r="C676" s="765"/>
    </row>
    <row r="677" spans="1:3" s="913" customFormat="1" ht="12" customHeight="1">
      <c r="A677" s="914"/>
      <c r="C677" s="765"/>
    </row>
    <row r="678" spans="1:3" s="913" customFormat="1" ht="12" customHeight="1">
      <c r="A678" s="914"/>
      <c r="C678" s="765"/>
    </row>
    <row r="679" spans="1:3" s="913" customFormat="1" ht="12" customHeight="1">
      <c r="A679" s="914"/>
      <c r="C679" s="765"/>
    </row>
    <row r="680" spans="1:3" s="913" customFormat="1" ht="12" customHeight="1">
      <c r="A680" s="914"/>
      <c r="C680" s="765"/>
    </row>
    <row r="681" spans="1:3" s="913" customFormat="1" ht="12" customHeight="1">
      <c r="A681" s="914"/>
      <c r="C681" s="765"/>
    </row>
    <row r="682" spans="1:3" s="913" customFormat="1" ht="12" customHeight="1">
      <c r="A682" s="914"/>
      <c r="C682" s="765"/>
    </row>
    <row r="683" spans="1:3" s="913" customFormat="1" ht="12" customHeight="1">
      <c r="A683" s="914"/>
      <c r="C683" s="765"/>
    </row>
    <row r="684" spans="1:3" s="913" customFormat="1" ht="12" customHeight="1">
      <c r="A684" s="914"/>
      <c r="C684" s="765"/>
    </row>
    <row r="685" spans="1:3" s="913" customFormat="1" ht="12" customHeight="1">
      <c r="A685" s="914"/>
      <c r="C685" s="765"/>
    </row>
    <row r="686" spans="1:3" s="913" customFormat="1" ht="12" customHeight="1">
      <c r="A686" s="914"/>
      <c r="C686" s="765"/>
    </row>
    <row r="687" spans="1:3" s="913" customFormat="1" ht="12" customHeight="1">
      <c r="A687" s="914"/>
      <c r="C687" s="765"/>
    </row>
    <row r="688" spans="1:3" s="913" customFormat="1" ht="12" customHeight="1">
      <c r="A688" s="914"/>
      <c r="C688" s="765"/>
    </row>
    <row r="689" spans="1:3" s="913" customFormat="1" ht="12" customHeight="1">
      <c r="A689" s="914"/>
      <c r="C689" s="765"/>
    </row>
    <row r="690" spans="1:3" s="913" customFormat="1" ht="12" customHeight="1">
      <c r="A690" s="914"/>
      <c r="C690" s="765"/>
    </row>
    <row r="691" spans="1:3" s="913" customFormat="1" ht="12" customHeight="1">
      <c r="A691" s="914"/>
      <c r="C691" s="765"/>
    </row>
    <row r="692" spans="1:3" s="913" customFormat="1" ht="12" customHeight="1">
      <c r="A692" s="914"/>
      <c r="C692" s="765"/>
    </row>
    <row r="693" spans="1:3" s="913" customFormat="1" ht="12" customHeight="1">
      <c r="A693" s="914"/>
      <c r="C693" s="765"/>
    </row>
    <row r="694" spans="1:3" s="913" customFormat="1" ht="12" customHeight="1">
      <c r="A694" s="914"/>
      <c r="C694" s="765"/>
    </row>
    <row r="695" spans="1:3" s="913" customFormat="1" ht="12" customHeight="1">
      <c r="A695" s="914"/>
      <c r="C695" s="765"/>
    </row>
    <row r="696" spans="1:3" s="913" customFormat="1" ht="12" customHeight="1">
      <c r="A696" s="914"/>
      <c r="C696" s="765"/>
    </row>
    <row r="697" spans="1:3" s="913" customFormat="1" ht="12" customHeight="1">
      <c r="A697" s="914"/>
      <c r="C697" s="765"/>
    </row>
    <row r="698" spans="1:3" s="913" customFormat="1" ht="12" customHeight="1">
      <c r="A698" s="914"/>
      <c r="C698" s="765"/>
    </row>
    <row r="699" spans="1:3" s="913" customFormat="1" ht="12" customHeight="1">
      <c r="A699" s="914"/>
      <c r="C699" s="765"/>
    </row>
    <row r="700" spans="1:3" s="913" customFormat="1" ht="12" customHeight="1">
      <c r="A700" s="914"/>
      <c r="C700" s="765"/>
    </row>
    <row r="701" spans="1:3" s="913" customFormat="1" ht="12" customHeight="1">
      <c r="A701" s="914"/>
      <c r="C701" s="765"/>
    </row>
    <row r="702" spans="1:3" s="913" customFormat="1" ht="12" customHeight="1">
      <c r="A702" s="914"/>
      <c r="C702" s="765"/>
    </row>
    <row r="703" spans="1:3" s="913" customFormat="1" ht="12" customHeight="1">
      <c r="A703" s="914"/>
      <c r="C703" s="765"/>
    </row>
    <row r="704" spans="1:3" s="913" customFormat="1" ht="12" customHeight="1">
      <c r="A704" s="914"/>
      <c r="C704" s="765"/>
    </row>
    <row r="705" spans="1:3" s="913" customFormat="1" ht="12" customHeight="1">
      <c r="A705" s="914"/>
      <c r="C705" s="765"/>
    </row>
    <row r="706" spans="1:3" s="913" customFormat="1" ht="12" customHeight="1">
      <c r="A706" s="914"/>
      <c r="C706" s="765"/>
    </row>
    <row r="707" spans="1:3" s="913" customFormat="1" ht="12" customHeight="1">
      <c r="A707" s="914"/>
      <c r="C707" s="765"/>
    </row>
    <row r="708" spans="1:3" s="913" customFormat="1" ht="12" customHeight="1">
      <c r="A708" s="914"/>
      <c r="C708" s="765"/>
    </row>
    <row r="709" spans="1:3" s="913" customFormat="1" ht="12" customHeight="1">
      <c r="A709" s="914"/>
      <c r="C709" s="765"/>
    </row>
    <row r="710" spans="1:3" s="913" customFormat="1" ht="12" customHeight="1">
      <c r="A710" s="914"/>
      <c r="C710" s="765"/>
    </row>
    <row r="711" spans="1:3" s="913" customFormat="1" ht="12" customHeight="1">
      <c r="A711" s="914"/>
      <c r="C711" s="765"/>
    </row>
    <row r="712" spans="1:3" s="913" customFormat="1" ht="12" customHeight="1">
      <c r="A712" s="914"/>
      <c r="C712" s="765"/>
    </row>
    <row r="713" spans="1:3" s="913" customFormat="1" ht="12" customHeight="1">
      <c r="A713" s="914"/>
      <c r="C713" s="765"/>
    </row>
    <row r="714" spans="1:3" s="913" customFormat="1" ht="12" customHeight="1">
      <c r="A714" s="914"/>
      <c r="C714" s="765"/>
    </row>
    <row r="715" spans="1:3" s="913" customFormat="1" ht="12" customHeight="1">
      <c r="A715" s="914"/>
      <c r="C715" s="765"/>
    </row>
    <row r="716" spans="1:3" s="913" customFormat="1" ht="12" customHeight="1">
      <c r="A716" s="914"/>
      <c r="C716" s="765"/>
    </row>
    <row r="717" spans="1:3" s="913" customFormat="1" ht="12" customHeight="1">
      <c r="A717" s="914"/>
      <c r="C717" s="765"/>
    </row>
    <row r="718" spans="1:3" s="913" customFormat="1" ht="12" customHeight="1">
      <c r="A718" s="914"/>
      <c r="C718" s="765"/>
    </row>
    <row r="719" spans="1:3" s="913" customFormat="1" ht="12" customHeight="1">
      <c r="A719" s="914"/>
      <c r="C719" s="765"/>
    </row>
    <row r="720" spans="1:3" s="913" customFormat="1" ht="12" customHeight="1">
      <c r="A720" s="914"/>
      <c r="C720" s="765"/>
    </row>
    <row r="721" spans="1:3" s="913" customFormat="1" ht="12" customHeight="1">
      <c r="A721" s="914"/>
      <c r="C721" s="765"/>
    </row>
    <row r="722" spans="1:3" s="913" customFormat="1" ht="12" customHeight="1">
      <c r="A722" s="914"/>
      <c r="C722" s="765"/>
    </row>
    <row r="723" spans="1:3" s="913" customFormat="1" ht="12" customHeight="1">
      <c r="A723" s="914"/>
      <c r="C723" s="765"/>
    </row>
    <row r="724" spans="1:3" s="913" customFormat="1" ht="12" customHeight="1">
      <c r="A724" s="914"/>
      <c r="C724" s="765"/>
    </row>
    <row r="725" spans="1:3" s="913" customFormat="1" ht="12" customHeight="1">
      <c r="A725" s="914"/>
      <c r="C725" s="765"/>
    </row>
    <row r="726" spans="1:3" s="913" customFormat="1" ht="12" customHeight="1">
      <c r="A726" s="914"/>
      <c r="C726" s="765"/>
    </row>
    <row r="727" spans="1:3" s="913" customFormat="1" ht="12" customHeight="1">
      <c r="A727" s="914"/>
      <c r="C727" s="765"/>
    </row>
    <row r="728" spans="1:3" s="913" customFormat="1" ht="12" customHeight="1">
      <c r="A728" s="914"/>
      <c r="C728" s="765"/>
    </row>
    <row r="729" spans="1:3" s="913" customFormat="1" ht="12" customHeight="1">
      <c r="A729" s="914"/>
      <c r="C729" s="765"/>
    </row>
    <row r="730" spans="1:3" s="913" customFormat="1" ht="12" customHeight="1">
      <c r="A730" s="914"/>
      <c r="C730" s="765"/>
    </row>
    <row r="731" spans="1:3" s="913" customFormat="1" ht="12" customHeight="1">
      <c r="A731" s="914"/>
      <c r="C731" s="765"/>
    </row>
    <row r="732" spans="1:3" s="913" customFormat="1" ht="12" customHeight="1">
      <c r="A732" s="914"/>
      <c r="C732" s="765"/>
    </row>
    <row r="733" spans="1:3" s="913" customFormat="1" ht="12" customHeight="1">
      <c r="A733" s="914"/>
      <c r="C733" s="765"/>
    </row>
    <row r="734" spans="1:3" s="913" customFormat="1" ht="12" customHeight="1">
      <c r="A734" s="914"/>
      <c r="C734" s="765"/>
    </row>
    <row r="735" spans="1:3" s="913" customFormat="1" ht="12" customHeight="1">
      <c r="A735" s="914"/>
      <c r="C735" s="765"/>
    </row>
    <row r="736" spans="1:3" s="913" customFormat="1" ht="12" customHeight="1">
      <c r="A736" s="914"/>
      <c r="C736" s="765"/>
    </row>
    <row r="737" spans="1:3" s="913" customFormat="1" ht="12" customHeight="1">
      <c r="A737" s="914"/>
      <c r="C737" s="765"/>
    </row>
    <row r="738" spans="1:3" s="913" customFormat="1" ht="12" customHeight="1">
      <c r="A738" s="914"/>
      <c r="C738" s="765"/>
    </row>
    <row r="739" spans="1:3" s="913" customFormat="1" ht="12" customHeight="1">
      <c r="A739" s="914"/>
      <c r="C739" s="765"/>
    </row>
    <row r="740" spans="1:3" s="913" customFormat="1" ht="12" customHeight="1">
      <c r="A740" s="914"/>
      <c r="C740" s="765"/>
    </row>
    <row r="741" spans="1:3" s="913" customFormat="1" ht="12" customHeight="1">
      <c r="A741" s="914"/>
      <c r="C741" s="765"/>
    </row>
    <row r="742" spans="1:3" s="913" customFormat="1" ht="12" customHeight="1">
      <c r="A742" s="914"/>
      <c r="C742" s="765"/>
    </row>
    <row r="743" spans="1:3" s="913" customFormat="1" ht="12" customHeight="1">
      <c r="A743" s="914"/>
      <c r="C743" s="765"/>
    </row>
    <row r="744" spans="1:3" s="913" customFormat="1" ht="12" customHeight="1">
      <c r="A744" s="914"/>
      <c r="C744" s="765"/>
    </row>
    <row r="745" spans="1:3" s="913" customFormat="1" ht="12" customHeight="1">
      <c r="A745" s="914"/>
      <c r="C745" s="765"/>
    </row>
    <row r="746" spans="1:3" s="913" customFormat="1" ht="12" customHeight="1">
      <c r="A746" s="914"/>
      <c r="C746" s="765"/>
    </row>
    <row r="747" spans="1:3" s="913" customFormat="1" ht="12" customHeight="1">
      <c r="A747" s="914"/>
      <c r="C747" s="765"/>
    </row>
    <row r="748" spans="1:3" s="913" customFormat="1" ht="12" customHeight="1">
      <c r="A748" s="914"/>
      <c r="C748" s="765"/>
    </row>
    <row r="749" spans="1:3" s="913" customFormat="1" ht="12" customHeight="1">
      <c r="A749" s="914"/>
      <c r="C749" s="765"/>
    </row>
    <row r="750" spans="1:3" s="913" customFormat="1" ht="12" customHeight="1">
      <c r="A750" s="914"/>
      <c r="C750" s="765"/>
    </row>
    <row r="751" spans="1:3" s="913" customFormat="1" ht="12" customHeight="1">
      <c r="A751" s="914"/>
      <c r="C751" s="765"/>
    </row>
    <row r="752" spans="1:3" s="913" customFormat="1" ht="12" customHeight="1">
      <c r="A752" s="914"/>
      <c r="C752" s="765"/>
    </row>
    <row r="753" spans="1:3" s="913" customFormat="1" ht="12" customHeight="1">
      <c r="A753" s="914"/>
      <c r="C753" s="765"/>
    </row>
    <row r="754" spans="1:3" s="913" customFormat="1" ht="12" customHeight="1">
      <c r="A754" s="914"/>
      <c r="C754" s="765"/>
    </row>
    <row r="755" spans="1:3" s="913" customFormat="1" ht="12" customHeight="1">
      <c r="A755" s="914"/>
      <c r="C755" s="765"/>
    </row>
    <row r="756" spans="1:3" s="913" customFormat="1" ht="12" customHeight="1">
      <c r="A756" s="914"/>
      <c r="C756" s="765"/>
    </row>
    <row r="757" spans="1:3" s="913" customFormat="1" ht="12" customHeight="1">
      <c r="A757" s="914"/>
      <c r="C757" s="765"/>
    </row>
    <row r="758" spans="1:3" s="913" customFormat="1" ht="12" customHeight="1">
      <c r="A758" s="914"/>
      <c r="C758" s="765"/>
    </row>
    <row r="759" spans="1:3" s="913" customFormat="1" ht="12" customHeight="1">
      <c r="A759" s="914"/>
      <c r="C759" s="765"/>
    </row>
    <row r="760" spans="1:3" s="913" customFormat="1" ht="12" customHeight="1">
      <c r="A760" s="914"/>
      <c r="C760" s="765"/>
    </row>
    <row r="761" spans="1:3" s="913" customFormat="1" ht="12" customHeight="1">
      <c r="A761" s="914"/>
      <c r="C761" s="765"/>
    </row>
    <row r="762" spans="1:3" s="913" customFormat="1" ht="12" customHeight="1">
      <c r="A762" s="914"/>
      <c r="C762" s="765"/>
    </row>
    <row r="763" spans="1:3" s="913" customFormat="1" ht="12" customHeight="1">
      <c r="A763" s="914"/>
      <c r="C763" s="765"/>
    </row>
    <row r="764" spans="1:3" s="913" customFormat="1" ht="12" customHeight="1">
      <c r="A764" s="914"/>
      <c r="C764" s="765"/>
    </row>
    <row r="765" spans="1:3" s="913" customFormat="1" ht="12" customHeight="1">
      <c r="A765" s="914"/>
      <c r="C765" s="765"/>
    </row>
    <row r="766" spans="1:3" s="913" customFormat="1" ht="12" customHeight="1">
      <c r="A766" s="914"/>
      <c r="C766" s="765"/>
    </row>
    <row r="767" spans="1:3" s="913" customFormat="1" ht="12" customHeight="1">
      <c r="A767" s="914"/>
      <c r="C767" s="765"/>
    </row>
    <row r="768" spans="1:3" s="913" customFormat="1" ht="12" customHeight="1">
      <c r="A768" s="914"/>
      <c r="C768" s="765"/>
    </row>
    <row r="769" spans="1:3" s="913" customFormat="1" ht="12" customHeight="1">
      <c r="A769" s="914"/>
      <c r="C769" s="765"/>
    </row>
    <row r="770" spans="1:3" s="913" customFormat="1" ht="12" customHeight="1">
      <c r="A770" s="914"/>
      <c r="C770" s="765"/>
    </row>
    <row r="771" spans="1:3" s="913" customFormat="1" ht="12" customHeight="1">
      <c r="A771" s="914"/>
      <c r="C771" s="765"/>
    </row>
    <row r="772" spans="1:3" s="913" customFormat="1" ht="12" customHeight="1">
      <c r="A772" s="914"/>
      <c r="C772" s="765"/>
    </row>
    <row r="773" spans="1:3" s="913" customFormat="1" ht="12" customHeight="1">
      <c r="A773" s="914"/>
      <c r="C773" s="765"/>
    </row>
    <row r="774" spans="1:3" s="913" customFormat="1" ht="12" customHeight="1">
      <c r="A774" s="914"/>
      <c r="C774" s="765"/>
    </row>
    <row r="775" spans="1:3" s="913" customFormat="1" ht="12" customHeight="1">
      <c r="A775" s="914"/>
      <c r="C775" s="765"/>
    </row>
    <row r="776" spans="1:3" s="913" customFormat="1" ht="12" customHeight="1">
      <c r="A776" s="914"/>
      <c r="C776" s="765"/>
    </row>
    <row r="777" spans="1:3" s="913" customFormat="1" ht="12" customHeight="1">
      <c r="A777" s="914"/>
      <c r="C777" s="765"/>
    </row>
    <row r="778" spans="1:3" s="913" customFormat="1" ht="12" customHeight="1">
      <c r="A778" s="914"/>
      <c r="C778" s="765"/>
    </row>
    <row r="779" spans="1:3" s="913" customFormat="1" ht="12" customHeight="1">
      <c r="A779" s="914"/>
      <c r="C779" s="765"/>
    </row>
    <row r="780" spans="1:3" s="913" customFormat="1" ht="12" customHeight="1">
      <c r="A780" s="914"/>
      <c r="C780" s="765"/>
    </row>
    <row r="781" spans="1:3" s="913" customFormat="1" ht="12" customHeight="1">
      <c r="A781" s="914"/>
      <c r="C781" s="765"/>
    </row>
    <row r="782" spans="1:3" s="913" customFormat="1" ht="12" customHeight="1">
      <c r="A782" s="914"/>
      <c r="C782" s="765"/>
    </row>
    <row r="783" spans="1:3" s="913" customFormat="1" ht="12" customHeight="1">
      <c r="A783" s="914"/>
      <c r="C783" s="765"/>
    </row>
    <row r="784" spans="1:3" s="913" customFormat="1" ht="12" customHeight="1">
      <c r="A784" s="914"/>
      <c r="C784" s="765"/>
    </row>
    <row r="785" spans="1:3" s="913" customFormat="1" ht="12" customHeight="1">
      <c r="A785" s="914"/>
      <c r="C785" s="765"/>
    </row>
    <row r="786" spans="1:3" s="913" customFormat="1" ht="12" customHeight="1">
      <c r="A786" s="914"/>
      <c r="C786" s="765"/>
    </row>
    <row r="787" spans="1:3" s="913" customFormat="1" ht="12" customHeight="1">
      <c r="A787" s="914"/>
      <c r="C787" s="765"/>
    </row>
    <row r="788" spans="1:3" s="913" customFormat="1" ht="12" customHeight="1">
      <c r="A788" s="914"/>
      <c r="C788" s="765"/>
    </row>
    <row r="789" spans="1:3" s="913" customFormat="1" ht="12" customHeight="1">
      <c r="A789" s="914"/>
      <c r="C789" s="765"/>
    </row>
    <row r="790" spans="1:3" s="913" customFormat="1" ht="12" customHeight="1">
      <c r="A790" s="914"/>
      <c r="C790" s="765"/>
    </row>
    <row r="791" spans="1:3" s="913" customFormat="1" ht="12" customHeight="1">
      <c r="A791" s="914"/>
      <c r="C791" s="765"/>
    </row>
    <row r="792" spans="1:3" s="913" customFormat="1" ht="12" customHeight="1">
      <c r="A792" s="914"/>
      <c r="C792" s="765"/>
    </row>
    <row r="793" spans="1:3" s="913" customFormat="1" ht="12" customHeight="1">
      <c r="A793" s="914"/>
      <c r="C793" s="765"/>
    </row>
    <row r="794" spans="1:3" s="913" customFormat="1" ht="12" customHeight="1">
      <c r="A794" s="914"/>
      <c r="C794" s="765"/>
    </row>
    <row r="795" spans="1:3" s="913" customFormat="1" ht="12" customHeight="1">
      <c r="A795" s="914"/>
      <c r="C795" s="765"/>
    </row>
    <row r="796" spans="1:3" s="913" customFormat="1" ht="12" customHeight="1">
      <c r="A796" s="914"/>
      <c r="C796" s="765"/>
    </row>
    <row r="797" spans="1:3" s="913" customFormat="1" ht="12" customHeight="1">
      <c r="A797" s="914"/>
      <c r="C797" s="765"/>
    </row>
    <row r="798" spans="1:3" s="913" customFormat="1" ht="12" customHeight="1">
      <c r="A798" s="914"/>
      <c r="C798" s="765"/>
    </row>
    <row r="799" spans="1:3" s="913" customFormat="1" ht="12" customHeight="1">
      <c r="A799" s="914"/>
      <c r="C799" s="765"/>
    </row>
    <row r="800" spans="1:3" s="913" customFormat="1" ht="12" customHeight="1">
      <c r="A800" s="914"/>
      <c r="C800" s="765"/>
    </row>
    <row r="801" spans="1:3" s="913" customFormat="1" ht="12" customHeight="1">
      <c r="A801" s="914"/>
      <c r="C801" s="765"/>
    </row>
    <row r="802" spans="1:3" s="913" customFormat="1" ht="12" customHeight="1">
      <c r="A802" s="914"/>
      <c r="C802" s="765"/>
    </row>
    <row r="803" spans="1:3" s="913" customFormat="1" ht="12" customHeight="1">
      <c r="A803" s="914"/>
      <c r="C803" s="765"/>
    </row>
    <row r="804" spans="1:3" s="913" customFormat="1" ht="12" customHeight="1">
      <c r="A804" s="914"/>
      <c r="C804" s="765"/>
    </row>
    <row r="805" spans="1:3" s="913" customFormat="1" ht="12" customHeight="1">
      <c r="A805" s="914"/>
      <c r="C805" s="765"/>
    </row>
    <row r="806" spans="1:3" s="913" customFormat="1" ht="12" customHeight="1">
      <c r="A806" s="914"/>
      <c r="C806" s="765"/>
    </row>
    <row r="807" spans="1:3" s="913" customFormat="1" ht="12" customHeight="1">
      <c r="A807" s="914"/>
      <c r="C807" s="765"/>
    </row>
    <row r="808" spans="1:3" s="913" customFormat="1" ht="12" customHeight="1">
      <c r="A808" s="914"/>
      <c r="C808" s="765"/>
    </row>
    <row r="809" spans="1:3" s="913" customFormat="1" ht="12" customHeight="1">
      <c r="A809" s="914"/>
      <c r="C809" s="765"/>
    </row>
    <row r="810" spans="1:3" s="913" customFormat="1" ht="12" customHeight="1">
      <c r="A810" s="914"/>
      <c r="C810" s="765"/>
    </row>
    <row r="811" spans="1:3" s="913" customFormat="1" ht="12" customHeight="1">
      <c r="A811" s="914"/>
      <c r="C811" s="765"/>
    </row>
    <row r="812" spans="1:3" s="913" customFormat="1" ht="12" customHeight="1">
      <c r="A812" s="914"/>
      <c r="C812" s="765"/>
    </row>
    <row r="813" spans="1:3" s="913" customFormat="1" ht="12" customHeight="1">
      <c r="A813" s="914"/>
      <c r="C813" s="765"/>
    </row>
    <row r="814" spans="1:3" s="913" customFormat="1" ht="12" customHeight="1">
      <c r="A814" s="914"/>
      <c r="C814" s="765"/>
    </row>
    <row r="815" spans="1:3" s="913" customFormat="1" ht="12" customHeight="1">
      <c r="A815" s="914"/>
      <c r="C815" s="765"/>
    </row>
    <row r="816" spans="1:3" s="913" customFormat="1" ht="12" customHeight="1">
      <c r="A816" s="914"/>
      <c r="C816" s="765"/>
    </row>
    <row r="817" spans="1:3" s="913" customFormat="1" ht="12" customHeight="1">
      <c r="A817" s="914"/>
      <c r="C817" s="765"/>
    </row>
    <row r="818" spans="1:3" s="913" customFormat="1" ht="12" customHeight="1">
      <c r="A818" s="914"/>
      <c r="C818" s="765"/>
    </row>
    <row r="819" spans="1:3" s="913" customFormat="1" ht="12" customHeight="1">
      <c r="A819" s="914"/>
      <c r="C819" s="765"/>
    </row>
    <row r="820" spans="1:3" s="913" customFormat="1" ht="12" customHeight="1">
      <c r="A820" s="914"/>
      <c r="C820" s="765"/>
    </row>
    <row r="821" spans="1:3" s="913" customFormat="1" ht="12" customHeight="1">
      <c r="A821" s="914"/>
      <c r="C821" s="765"/>
    </row>
    <row r="822" spans="1:3" s="913" customFormat="1" ht="12" customHeight="1">
      <c r="A822" s="914"/>
      <c r="C822" s="765"/>
    </row>
    <row r="823" spans="1:3" s="913" customFormat="1" ht="12" customHeight="1">
      <c r="A823" s="914"/>
      <c r="C823" s="765"/>
    </row>
    <row r="824" spans="1:3" s="913" customFormat="1" ht="12" customHeight="1">
      <c r="A824" s="914"/>
      <c r="C824" s="765"/>
    </row>
    <row r="825" spans="1:3" s="913" customFormat="1" ht="12" customHeight="1">
      <c r="A825" s="914"/>
      <c r="C825" s="765"/>
    </row>
    <row r="826" spans="1:3" s="913" customFormat="1" ht="12" customHeight="1">
      <c r="A826" s="914"/>
      <c r="C826" s="765"/>
    </row>
    <row r="827" spans="1:3" s="913" customFormat="1" ht="12" customHeight="1">
      <c r="A827" s="914"/>
      <c r="C827" s="765"/>
    </row>
    <row r="828" spans="1:3" s="913" customFormat="1" ht="12" customHeight="1">
      <c r="A828" s="914"/>
      <c r="C828" s="765"/>
    </row>
    <row r="829" spans="1:3" s="913" customFormat="1" ht="12" customHeight="1">
      <c r="A829" s="914"/>
      <c r="C829" s="765"/>
    </row>
    <row r="830" spans="1:3" s="913" customFormat="1" ht="12" customHeight="1">
      <c r="A830" s="914"/>
      <c r="C830" s="765"/>
    </row>
    <row r="831" spans="1:3" s="913" customFormat="1" ht="12" customHeight="1">
      <c r="A831" s="914"/>
      <c r="C831" s="765"/>
    </row>
    <row r="832" spans="1:3" s="913" customFormat="1" ht="12" customHeight="1">
      <c r="A832" s="914"/>
      <c r="C832" s="765"/>
    </row>
    <row r="833" spans="1:3" s="913" customFormat="1" ht="12" customHeight="1">
      <c r="A833" s="914"/>
      <c r="C833" s="765"/>
    </row>
    <row r="834" spans="1:3" s="913" customFormat="1" ht="12" customHeight="1">
      <c r="A834" s="914"/>
      <c r="C834" s="765"/>
    </row>
    <row r="835" spans="1:3" s="913" customFormat="1" ht="12" customHeight="1">
      <c r="A835" s="914"/>
      <c r="C835" s="765"/>
    </row>
    <row r="836" spans="1:3" s="913" customFormat="1" ht="12" customHeight="1">
      <c r="A836" s="914"/>
      <c r="C836" s="765"/>
    </row>
    <row r="837" spans="1:3" s="913" customFormat="1" ht="12" customHeight="1">
      <c r="A837" s="914"/>
      <c r="C837" s="765"/>
    </row>
    <row r="838" spans="1:3" s="913" customFormat="1" ht="12" customHeight="1">
      <c r="A838" s="914"/>
      <c r="C838" s="765"/>
    </row>
    <row r="839" spans="1:3" s="913" customFormat="1" ht="12" customHeight="1">
      <c r="A839" s="914"/>
      <c r="C839" s="765"/>
    </row>
    <row r="840" spans="1:3" s="913" customFormat="1" ht="12" customHeight="1">
      <c r="A840" s="914"/>
      <c r="C840" s="765"/>
    </row>
    <row r="841" spans="1:3" s="913" customFormat="1" ht="12" customHeight="1">
      <c r="A841" s="914"/>
      <c r="C841" s="765"/>
    </row>
    <row r="842" spans="1:3" s="913" customFormat="1" ht="12" customHeight="1">
      <c r="A842" s="914"/>
      <c r="C842" s="765"/>
    </row>
    <row r="843" spans="1:3" s="913" customFormat="1" ht="12" customHeight="1">
      <c r="A843" s="914"/>
      <c r="C843" s="765"/>
    </row>
    <row r="844" spans="1:3" s="913" customFormat="1" ht="12" customHeight="1">
      <c r="A844" s="914"/>
      <c r="C844" s="765"/>
    </row>
    <row r="845" spans="1:3" s="913" customFormat="1" ht="12" customHeight="1">
      <c r="A845" s="914"/>
      <c r="C845" s="765"/>
    </row>
    <row r="846" spans="1:3" s="913" customFormat="1" ht="12" customHeight="1">
      <c r="A846" s="914"/>
      <c r="C846" s="765"/>
    </row>
    <row r="847" spans="1:3" s="913" customFormat="1" ht="12" customHeight="1">
      <c r="A847" s="914"/>
      <c r="C847" s="765"/>
    </row>
    <row r="848" spans="1:3" s="913" customFormat="1" ht="12" customHeight="1">
      <c r="A848" s="914"/>
      <c r="C848" s="765"/>
    </row>
    <row r="849" spans="1:3" s="913" customFormat="1" ht="12" customHeight="1">
      <c r="A849" s="914"/>
      <c r="C849" s="765"/>
    </row>
    <row r="850" spans="1:3" s="913" customFormat="1" ht="12" customHeight="1">
      <c r="A850" s="914"/>
      <c r="C850" s="765"/>
    </row>
    <row r="851" spans="1:3" s="913" customFormat="1" ht="12" customHeight="1">
      <c r="A851" s="914"/>
      <c r="C851" s="765"/>
    </row>
    <row r="852" spans="1:3" s="913" customFormat="1" ht="12" customHeight="1">
      <c r="A852" s="914"/>
      <c r="C852" s="765"/>
    </row>
    <row r="853" spans="1:3" s="913" customFormat="1" ht="12" customHeight="1">
      <c r="A853" s="914"/>
      <c r="C853" s="765"/>
    </row>
    <row r="854" spans="1:3" s="913" customFormat="1" ht="12" customHeight="1">
      <c r="A854" s="914"/>
      <c r="C854" s="765"/>
    </row>
    <row r="855" spans="1:3" s="913" customFormat="1" ht="12" customHeight="1">
      <c r="A855" s="914"/>
      <c r="C855" s="765"/>
    </row>
    <row r="856" spans="1:3" s="913" customFormat="1" ht="12" customHeight="1">
      <c r="A856" s="914"/>
      <c r="C856" s="765"/>
    </row>
    <row r="857" spans="1:3" s="913" customFormat="1" ht="12" customHeight="1">
      <c r="A857" s="914"/>
      <c r="C857" s="765"/>
    </row>
    <row r="858" spans="1:3" s="913" customFormat="1" ht="12" customHeight="1">
      <c r="A858" s="914"/>
      <c r="C858" s="765"/>
    </row>
    <row r="859" spans="1:3" s="913" customFormat="1" ht="12" customHeight="1">
      <c r="A859" s="914"/>
      <c r="C859" s="765"/>
    </row>
    <row r="860" spans="1:3" s="913" customFormat="1" ht="12" customHeight="1">
      <c r="A860" s="914"/>
      <c r="C860" s="765"/>
    </row>
    <row r="861" spans="1:3" s="913" customFormat="1" ht="12" customHeight="1">
      <c r="A861" s="914"/>
      <c r="C861" s="765"/>
    </row>
    <row r="862" spans="1:3" s="913" customFormat="1" ht="12" customHeight="1">
      <c r="A862" s="914"/>
      <c r="C862" s="765"/>
    </row>
    <row r="863" spans="1:3" s="913" customFormat="1" ht="12" customHeight="1">
      <c r="A863" s="914"/>
      <c r="C863" s="765"/>
    </row>
    <row r="864" spans="1:3" s="913" customFormat="1" ht="12" customHeight="1">
      <c r="A864" s="914"/>
      <c r="C864" s="765"/>
    </row>
    <row r="865" spans="1:3" s="913" customFormat="1" ht="12" customHeight="1">
      <c r="A865" s="914"/>
      <c r="C865" s="765"/>
    </row>
    <row r="866" spans="1:3" s="913" customFormat="1" ht="12" customHeight="1">
      <c r="A866" s="914"/>
      <c r="C866" s="765"/>
    </row>
    <row r="867" spans="1:3" s="913" customFormat="1" ht="12" customHeight="1">
      <c r="A867" s="914"/>
      <c r="C867" s="765"/>
    </row>
    <row r="868" spans="1:3" s="913" customFormat="1" ht="12" customHeight="1">
      <c r="A868" s="914"/>
      <c r="C868" s="765"/>
    </row>
    <row r="869" spans="1:3" s="913" customFormat="1" ht="12" customHeight="1">
      <c r="A869" s="914"/>
      <c r="C869" s="765"/>
    </row>
    <row r="870" spans="1:3" s="913" customFormat="1" ht="12" customHeight="1">
      <c r="A870" s="914"/>
      <c r="C870" s="765"/>
    </row>
    <row r="871" spans="1:3" s="913" customFormat="1" ht="12" customHeight="1">
      <c r="A871" s="914"/>
      <c r="C871" s="765"/>
    </row>
    <row r="872" spans="1:3" s="913" customFormat="1" ht="12" customHeight="1">
      <c r="A872" s="914"/>
      <c r="C872" s="765"/>
    </row>
    <row r="873" spans="1:3" s="913" customFormat="1" ht="12" customHeight="1">
      <c r="A873" s="914"/>
      <c r="C873" s="765"/>
    </row>
    <row r="874" spans="1:3" s="913" customFormat="1" ht="12" customHeight="1">
      <c r="A874" s="914"/>
      <c r="C874" s="765"/>
    </row>
    <row r="875" spans="1:3" s="913" customFormat="1" ht="12" customHeight="1">
      <c r="A875" s="914"/>
      <c r="C875" s="765"/>
    </row>
    <row r="876" spans="1:3" s="913" customFormat="1" ht="12" customHeight="1">
      <c r="A876" s="914"/>
      <c r="C876" s="765"/>
    </row>
    <row r="877" spans="1:3" s="913" customFormat="1" ht="12" customHeight="1">
      <c r="A877" s="914"/>
      <c r="C877" s="765"/>
    </row>
    <row r="878" spans="1:3" s="913" customFormat="1" ht="12" customHeight="1">
      <c r="A878" s="914"/>
      <c r="C878" s="765"/>
    </row>
    <row r="879" spans="1:3" s="913" customFormat="1" ht="12" customHeight="1">
      <c r="A879" s="914"/>
      <c r="C879" s="765"/>
    </row>
    <row r="880" spans="1:3" s="913" customFormat="1" ht="12" customHeight="1">
      <c r="A880" s="914"/>
      <c r="C880" s="765"/>
    </row>
    <row r="881" spans="1:3" s="913" customFormat="1" ht="12" customHeight="1">
      <c r="A881" s="914"/>
      <c r="C881" s="765"/>
    </row>
    <row r="882" spans="1:3" s="913" customFormat="1" ht="12" customHeight="1">
      <c r="A882" s="914"/>
      <c r="C882" s="765"/>
    </row>
    <row r="883" spans="1:3" s="913" customFormat="1" ht="12" customHeight="1">
      <c r="A883" s="914"/>
      <c r="C883" s="765"/>
    </row>
    <row r="884" spans="1:3" s="913" customFormat="1" ht="12" customHeight="1">
      <c r="A884" s="914"/>
      <c r="C884" s="765"/>
    </row>
    <row r="885" spans="1:3" s="913" customFormat="1" ht="12" customHeight="1">
      <c r="A885" s="914"/>
      <c r="C885" s="765"/>
    </row>
    <row r="886" spans="1:3" s="913" customFormat="1" ht="12" customHeight="1">
      <c r="A886" s="914"/>
      <c r="C886" s="765"/>
    </row>
    <row r="887" spans="1:3" s="913" customFormat="1" ht="12" customHeight="1">
      <c r="A887" s="914"/>
      <c r="C887" s="765"/>
    </row>
    <row r="888" spans="1:3" s="913" customFormat="1" ht="12" customHeight="1">
      <c r="A888" s="914"/>
      <c r="C888" s="765"/>
    </row>
    <row r="889" spans="1:3" s="913" customFormat="1" ht="12" customHeight="1">
      <c r="A889" s="914"/>
      <c r="C889" s="765"/>
    </row>
    <row r="890" spans="1:3" s="913" customFormat="1" ht="12" customHeight="1">
      <c r="A890" s="914"/>
      <c r="C890" s="765"/>
    </row>
    <row r="891" spans="1:3" s="913" customFormat="1" ht="12" customHeight="1">
      <c r="A891" s="914"/>
      <c r="C891" s="765"/>
    </row>
    <row r="892" spans="1:3" s="913" customFormat="1" ht="12" customHeight="1">
      <c r="A892" s="914"/>
      <c r="C892" s="765"/>
    </row>
    <row r="893" spans="1:3" s="913" customFormat="1" ht="12" customHeight="1">
      <c r="A893" s="914"/>
      <c r="C893" s="765"/>
    </row>
    <row r="894" spans="1:3" s="913" customFormat="1" ht="12" customHeight="1">
      <c r="A894" s="914"/>
      <c r="C894" s="765"/>
    </row>
    <row r="895" spans="1:3" s="913" customFormat="1" ht="12" customHeight="1">
      <c r="A895" s="914"/>
      <c r="C895" s="765"/>
    </row>
    <row r="896" spans="1:3" s="913" customFormat="1" ht="12" customHeight="1">
      <c r="A896" s="914"/>
      <c r="C896" s="765"/>
    </row>
    <row r="897" spans="1:3" s="913" customFormat="1" ht="12" customHeight="1">
      <c r="A897" s="914"/>
      <c r="C897" s="765"/>
    </row>
    <row r="898" spans="1:3" s="913" customFormat="1" ht="12" customHeight="1">
      <c r="A898" s="914"/>
      <c r="C898" s="765"/>
    </row>
    <row r="899" spans="1:3" s="913" customFormat="1" ht="12" customHeight="1">
      <c r="A899" s="914"/>
      <c r="C899" s="765"/>
    </row>
    <row r="900" spans="1:3" s="913" customFormat="1" ht="12" customHeight="1">
      <c r="A900" s="914"/>
      <c r="C900" s="765"/>
    </row>
    <row r="901" spans="1:3" s="913" customFormat="1" ht="12" customHeight="1">
      <c r="A901" s="914"/>
      <c r="C901" s="765"/>
    </row>
    <row r="902" spans="1:3" s="913" customFormat="1" ht="12" customHeight="1">
      <c r="A902" s="914"/>
      <c r="C902" s="765"/>
    </row>
    <row r="903" spans="1:3" s="913" customFormat="1" ht="12" customHeight="1">
      <c r="A903" s="914"/>
      <c r="C903" s="765"/>
    </row>
    <row r="904" spans="1:3" s="913" customFormat="1" ht="12" customHeight="1">
      <c r="A904" s="914"/>
      <c r="C904" s="765"/>
    </row>
    <row r="905" spans="1:3" s="913" customFormat="1" ht="12" customHeight="1">
      <c r="A905" s="914"/>
      <c r="C905" s="765"/>
    </row>
    <row r="906" spans="1:3" s="913" customFormat="1" ht="12" customHeight="1">
      <c r="A906" s="914"/>
      <c r="C906" s="765"/>
    </row>
    <row r="907" spans="1:3" s="913" customFormat="1" ht="12" customHeight="1">
      <c r="A907" s="914"/>
      <c r="C907" s="765"/>
    </row>
    <row r="908" spans="1:3" s="913" customFormat="1" ht="12" customHeight="1">
      <c r="A908" s="914"/>
      <c r="C908" s="765"/>
    </row>
    <row r="909" spans="1:3" s="913" customFormat="1" ht="12" customHeight="1">
      <c r="A909" s="914"/>
      <c r="C909" s="765"/>
    </row>
    <row r="910" spans="1:3" s="913" customFormat="1" ht="12" customHeight="1">
      <c r="A910" s="914"/>
      <c r="C910" s="765"/>
    </row>
    <row r="911" spans="1:3" s="913" customFormat="1" ht="12" customHeight="1">
      <c r="A911" s="914"/>
      <c r="C911" s="765"/>
    </row>
    <row r="912" spans="1:3" s="913" customFormat="1" ht="12" customHeight="1">
      <c r="A912" s="914"/>
      <c r="C912" s="765"/>
    </row>
    <row r="913" spans="1:3" s="913" customFormat="1" ht="12" customHeight="1">
      <c r="A913" s="914"/>
      <c r="C913" s="765"/>
    </row>
    <row r="914" spans="1:3" s="913" customFormat="1" ht="12" customHeight="1">
      <c r="A914" s="914"/>
      <c r="C914" s="765"/>
    </row>
    <row r="915" spans="1:3" s="913" customFormat="1" ht="12" customHeight="1">
      <c r="A915" s="914"/>
      <c r="C915" s="765"/>
    </row>
    <row r="916" spans="1:3" s="913" customFormat="1" ht="12" customHeight="1">
      <c r="A916" s="914"/>
      <c r="C916" s="765"/>
    </row>
    <row r="917" spans="1:3" s="913" customFormat="1" ht="12" customHeight="1">
      <c r="A917" s="914"/>
      <c r="C917" s="765"/>
    </row>
    <row r="918" spans="1:3" s="913" customFormat="1" ht="12" customHeight="1">
      <c r="A918" s="914"/>
      <c r="C918" s="765"/>
    </row>
    <row r="919" spans="1:3" s="913" customFormat="1" ht="12" customHeight="1">
      <c r="A919" s="914"/>
      <c r="C919" s="765"/>
    </row>
    <row r="920" spans="1:3" s="913" customFormat="1" ht="12" customHeight="1">
      <c r="A920" s="914"/>
      <c r="C920" s="765"/>
    </row>
    <row r="921" spans="1:3" s="913" customFormat="1" ht="12" customHeight="1">
      <c r="A921" s="914"/>
      <c r="C921" s="765"/>
    </row>
    <row r="922" spans="1:3" s="913" customFormat="1" ht="12" customHeight="1">
      <c r="A922" s="914"/>
      <c r="C922" s="765"/>
    </row>
    <row r="923" spans="1:3" s="913" customFormat="1" ht="12" customHeight="1">
      <c r="A923" s="914"/>
      <c r="C923" s="765"/>
    </row>
    <row r="924" spans="1:3" s="913" customFormat="1" ht="12" customHeight="1">
      <c r="A924" s="914"/>
      <c r="C924" s="765"/>
    </row>
    <row r="925" spans="1:3" s="913" customFormat="1" ht="12" customHeight="1">
      <c r="A925" s="914"/>
      <c r="C925" s="765"/>
    </row>
    <row r="926" spans="1:3" s="913" customFormat="1" ht="12" customHeight="1">
      <c r="A926" s="914"/>
      <c r="C926" s="765"/>
    </row>
    <row r="927" spans="1:3" s="913" customFormat="1" ht="12" customHeight="1">
      <c r="A927" s="914"/>
      <c r="C927" s="765"/>
    </row>
    <row r="928" spans="1:3" s="913" customFormat="1" ht="12" customHeight="1">
      <c r="A928" s="914"/>
      <c r="C928" s="765"/>
    </row>
    <row r="929" spans="1:3" s="913" customFormat="1" ht="12" customHeight="1">
      <c r="A929" s="914"/>
      <c r="C929" s="765"/>
    </row>
    <row r="930" spans="1:3" s="913" customFormat="1" ht="12" customHeight="1">
      <c r="A930" s="914"/>
      <c r="C930" s="765"/>
    </row>
    <row r="931" spans="1:3" s="913" customFormat="1" ht="12" customHeight="1">
      <c r="A931" s="914"/>
      <c r="C931" s="765"/>
    </row>
    <row r="932" spans="1:3" s="913" customFormat="1" ht="12" customHeight="1">
      <c r="A932" s="914"/>
      <c r="C932" s="765"/>
    </row>
    <row r="933" spans="1:3" s="913" customFormat="1" ht="12" customHeight="1">
      <c r="A933" s="914"/>
      <c r="C933" s="765"/>
    </row>
    <row r="934" spans="1:3" s="913" customFormat="1" ht="12" customHeight="1">
      <c r="A934" s="914"/>
      <c r="C934" s="765"/>
    </row>
    <row r="935" spans="1:3" s="913" customFormat="1" ht="12" customHeight="1">
      <c r="A935" s="914"/>
      <c r="C935" s="765"/>
    </row>
    <row r="936" spans="1:3" s="913" customFormat="1" ht="12" customHeight="1">
      <c r="A936" s="914"/>
      <c r="C936" s="765"/>
    </row>
    <row r="937" spans="1:3" s="913" customFormat="1" ht="12" customHeight="1">
      <c r="A937" s="914"/>
      <c r="C937" s="765"/>
    </row>
    <row r="938" spans="1:3" s="913" customFormat="1" ht="12" customHeight="1">
      <c r="A938" s="914"/>
      <c r="C938" s="765"/>
    </row>
    <row r="939" spans="1:3" s="913" customFormat="1" ht="12" customHeight="1">
      <c r="A939" s="914"/>
      <c r="C939" s="765"/>
    </row>
    <row r="940" spans="1:3" s="913" customFormat="1" ht="12" customHeight="1">
      <c r="A940" s="914"/>
      <c r="C940" s="765"/>
    </row>
    <row r="941" spans="1:3" s="913" customFormat="1" ht="12" customHeight="1">
      <c r="A941" s="914"/>
      <c r="C941" s="765"/>
    </row>
    <row r="942" spans="1:3" s="913" customFormat="1" ht="12" customHeight="1">
      <c r="A942" s="914"/>
      <c r="C942" s="765"/>
    </row>
    <row r="943" spans="1:3" s="913" customFormat="1" ht="12" customHeight="1">
      <c r="A943" s="914"/>
      <c r="C943" s="765"/>
    </row>
    <row r="944" spans="1:3" s="913" customFormat="1" ht="12" customHeight="1">
      <c r="A944" s="914"/>
      <c r="C944" s="765"/>
    </row>
    <row r="945" spans="1:3" s="913" customFormat="1" ht="12" customHeight="1">
      <c r="A945" s="914"/>
      <c r="C945" s="765"/>
    </row>
    <row r="946" spans="1:3" s="913" customFormat="1" ht="12" customHeight="1">
      <c r="A946" s="914"/>
      <c r="C946" s="765"/>
    </row>
    <row r="947" spans="1:3" s="913" customFormat="1" ht="12" customHeight="1">
      <c r="A947" s="914"/>
      <c r="C947" s="765"/>
    </row>
    <row r="948" spans="1:3" s="913" customFormat="1" ht="12" customHeight="1">
      <c r="A948" s="914"/>
      <c r="C948" s="765"/>
    </row>
    <row r="949" spans="1:3" s="913" customFormat="1" ht="12" customHeight="1">
      <c r="A949" s="914"/>
      <c r="C949" s="765"/>
    </row>
    <row r="950" spans="1:3" s="913" customFormat="1" ht="12" customHeight="1">
      <c r="A950" s="914"/>
      <c r="C950" s="765"/>
    </row>
    <row r="951" spans="1:3" s="913" customFormat="1" ht="12" customHeight="1">
      <c r="A951" s="914"/>
      <c r="C951" s="765"/>
    </row>
    <row r="952" spans="1:3" s="913" customFormat="1" ht="12" customHeight="1">
      <c r="A952" s="914"/>
      <c r="C952" s="765"/>
    </row>
    <row r="953" spans="1:3" s="913" customFormat="1" ht="12" customHeight="1">
      <c r="A953" s="914"/>
      <c r="C953" s="765"/>
    </row>
    <row r="954" spans="1:3" s="913" customFormat="1" ht="12" customHeight="1">
      <c r="A954" s="914"/>
      <c r="C954" s="765"/>
    </row>
    <row r="955" spans="1:3" s="913" customFormat="1" ht="12" customHeight="1">
      <c r="A955" s="914"/>
      <c r="C955" s="765"/>
    </row>
    <row r="956" spans="1:3" s="913" customFormat="1" ht="12" customHeight="1">
      <c r="A956" s="914"/>
      <c r="C956" s="765"/>
    </row>
    <row r="957" spans="1:3" s="913" customFormat="1" ht="12" customHeight="1">
      <c r="A957" s="914"/>
      <c r="C957" s="765"/>
    </row>
    <row r="958" spans="1:3" s="913" customFormat="1" ht="12" customHeight="1">
      <c r="A958" s="914"/>
      <c r="C958" s="765"/>
    </row>
    <row r="959" spans="1:3" s="913" customFormat="1" ht="12" customHeight="1">
      <c r="A959" s="914"/>
      <c r="C959" s="765"/>
    </row>
    <row r="960" spans="1:3" s="913" customFormat="1" ht="12" customHeight="1">
      <c r="A960" s="914"/>
      <c r="C960" s="765"/>
    </row>
    <row r="961" spans="1:3" s="913" customFormat="1" ht="12" customHeight="1">
      <c r="A961" s="914"/>
      <c r="C961" s="765"/>
    </row>
    <row r="962" spans="1:3" s="913" customFormat="1" ht="12" customHeight="1">
      <c r="A962" s="914"/>
      <c r="C962" s="765"/>
    </row>
    <row r="963" spans="1:3" s="913" customFormat="1" ht="12" customHeight="1">
      <c r="A963" s="914"/>
      <c r="C963" s="765"/>
    </row>
    <row r="964" spans="1:3" s="913" customFormat="1" ht="12" customHeight="1">
      <c r="A964" s="914"/>
      <c r="C964" s="765"/>
    </row>
    <row r="965" spans="1:3" s="913" customFormat="1" ht="12" customHeight="1">
      <c r="A965" s="914"/>
      <c r="C965" s="765"/>
    </row>
    <row r="966" spans="1:3" s="913" customFormat="1" ht="12" customHeight="1">
      <c r="A966" s="914"/>
      <c r="C966" s="765"/>
    </row>
    <row r="967" spans="1:3" s="913" customFormat="1" ht="12" customHeight="1">
      <c r="A967" s="914"/>
      <c r="C967" s="765"/>
    </row>
    <row r="968" spans="1:3" s="913" customFormat="1" ht="12" customHeight="1">
      <c r="A968" s="914"/>
      <c r="C968" s="765"/>
    </row>
    <row r="969" spans="1:3" s="913" customFormat="1" ht="12" customHeight="1">
      <c r="A969" s="914"/>
      <c r="C969" s="765"/>
    </row>
    <row r="970" spans="1:3" s="913" customFormat="1" ht="12" customHeight="1">
      <c r="A970" s="914"/>
      <c r="C970" s="765"/>
    </row>
    <row r="971" spans="1:3" s="913" customFormat="1" ht="12" customHeight="1">
      <c r="A971" s="914"/>
      <c r="C971" s="765"/>
    </row>
    <row r="972" spans="1:3" s="913" customFormat="1" ht="12" customHeight="1">
      <c r="A972" s="914"/>
      <c r="C972" s="765"/>
    </row>
    <row r="973" spans="1:3" s="913" customFormat="1" ht="12" customHeight="1">
      <c r="A973" s="914"/>
      <c r="C973" s="765"/>
    </row>
    <row r="974" spans="1:3" s="913" customFormat="1" ht="12" customHeight="1">
      <c r="A974" s="914"/>
      <c r="C974" s="765"/>
    </row>
    <row r="975" spans="1:3" s="913" customFormat="1" ht="12" customHeight="1">
      <c r="A975" s="914"/>
      <c r="C975" s="765"/>
    </row>
    <row r="976" spans="1:3" s="913" customFormat="1" ht="12" customHeight="1">
      <c r="A976" s="914"/>
      <c r="C976" s="765"/>
    </row>
    <row r="977" spans="1:3" s="913" customFormat="1" ht="12" customHeight="1">
      <c r="A977" s="914"/>
      <c r="C977" s="765"/>
    </row>
    <row r="978" spans="1:3" s="913" customFormat="1" ht="12" customHeight="1">
      <c r="A978" s="914"/>
      <c r="C978" s="765"/>
    </row>
    <row r="979" spans="1:3" s="913" customFormat="1" ht="12" customHeight="1">
      <c r="A979" s="914"/>
      <c r="C979" s="765"/>
    </row>
    <row r="980" spans="1:3" s="913" customFormat="1" ht="12" customHeight="1">
      <c r="A980" s="914"/>
      <c r="C980" s="765"/>
    </row>
    <row r="981" spans="1:3" s="913" customFormat="1" ht="12" customHeight="1">
      <c r="A981" s="914"/>
      <c r="C981" s="765"/>
    </row>
    <row r="982" spans="1:3" s="913" customFormat="1" ht="12" customHeight="1">
      <c r="A982" s="914"/>
      <c r="C982" s="765"/>
    </row>
    <row r="983" spans="1:3" s="913" customFormat="1" ht="12" customHeight="1">
      <c r="A983" s="914"/>
      <c r="C983" s="765"/>
    </row>
    <row r="984" spans="1:3" s="913" customFormat="1" ht="12" customHeight="1">
      <c r="A984" s="914"/>
      <c r="C984" s="765"/>
    </row>
    <row r="985" spans="1:3" s="913" customFormat="1" ht="12" customHeight="1">
      <c r="A985" s="914"/>
      <c r="C985" s="765"/>
    </row>
    <row r="986" spans="1:3" s="913" customFormat="1" ht="12" customHeight="1">
      <c r="A986" s="914"/>
      <c r="C986" s="765"/>
    </row>
    <row r="987" spans="1:3" s="913" customFormat="1" ht="12" customHeight="1">
      <c r="A987" s="914"/>
      <c r="C987" s="765"/>
    </row>
    <row r="988" spans="1:3" s="913" customFormat="1" ht="12" customHeight="1">
      <c r="A988" s="914"/>
      <c r="C988" s="765"/>
    </row>
    <row r="989" spans="1:3" s="913" customFormat="1" ht="12" customHeight="1">
      <c r="A989" s="914"/>
      <c r="C989" s="765"/>
    </row>
    <row r="990" spans="1:3" s="913" customFormat="1" ht="12" customHeight="1">
      <c r="A990" s="914"/>
      <c r="C990" s="765"/>
    </row>
    <row r="991" spans="1:3" s="913" customFormat="1" ht="12" customHeight="1">
      <c r="A991" s="914"/>
      <c r="C991" s="765"/>
    </row>
    <row r="992" spans="1:3" s="913" customFormat="1" ht="12" customHeight="1">
      <c r="A992" s="914"/>
      <c r="C992" s="765"/>
    </row>
    <row r="993" spans="1:3" s="913" customFormat="1" ht="12" customHeight="1">
      <c r="A993" s="914"/>
      <c r="C993" s="765"/>
    </row>
    <row r="994" spans="1:3" s="913" customFormat="1" ht="12" customHeight="1">
      <c r="A994" s="914"/>
      <c r="C994" s="765"/>
    </row>
    <row r="995" spans="1:3" s="913" customFormat="1" ht="12" customHeight="1">
      <c r="A995" s="914"/>
      <c r="C995" s="765"/>
    </row>
    <row r="996" spans="1:3" s="913" customFormat="1" ht="12" customHeight="1">
      <c r="A996" s="914"/>
      <c r="C996" s="765"/>
    </row>
    <row r="997" spans="1:3" s="913" customFormat="1" ht="12" customHeight="1">
      <c r="A997" s="914"/>
      <c r="C997" s="765"/>
    </row>
    <row r="998" spans="1:3" s="913" customFormat="1" ht="12" customHeight="1">
      <c r="A998" s="914"/>
      <c r="C998" s="765"/>
    </row>
    <row r="999" spans="1:3" s="913" customFormat="1" ht="12" customHeight="1">
      <c r="A999" s="914"/>
      <c r="C999" s="765"/>
    </row>
    <row r="1000" spans="1:3" s="913" customFormat="1" ht="12" customHeight="1">
      <c r="A1000" s="914"/>
      <c r="C1000" s="765"/>
    </row>
    <row r="1001" spans="1:3" s="913" customFormat="1" ht="12" customHeight="1">
      <c r="A1001" s="914"/>
      <c r="C1001" s="765"/>
    </row>
    <row r="1002" spans="1:3" s="913" customFormat="1" ht="12" customHeight="1">
      <c r="A1002" s="914"/>
      <c r="C1002" s="765"/>
    </row>
    <row r="1003" spans="1:3" s="913" customFormat="1" ht="12" customHeight="1">
      <c r="A1003" s="914"/>
      <c r="C1003" s="765"/>
    </row>
  </sheetData>
  <sheetProtection algorithmName="SHA-512" hashValue="ruRvt9F0jRR2QKrcZgR1BIukHQ68tfFeFN0GgjSgmT+j2Wsu8hZdP/SaHKff4TDQJ05BEnAGIjQQ662ZNdu9AQ==" saltValue="7DlzUSxr/UnVIzHJ9tTuig==" spinCount="100000" sheet="1" objects="1" scenarios="1"/>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Please Read First</vt:lpstr>
      <vt:lpstr>Startup Costs</vt:lpstr>
      <vt:lpstr>Plant &amp; Fish Production</vt:lpstr>
      <vt:lpstr>REV &amp; COGS</vt:lpstr>
      <vt:lpstr>Energy and Water</vt:lpstr>
      <vt:lpstr>Produce &amp; Fish Sales</vt:lpstr>
      <vt:lpstr>Scenarios</vt:lpstr>
      <vt:lpstr>Misc - Other Rev</vt:lpstr>
      <vt:lpstr>COGS Monthly</vt:lpstr>
      <vt:lpstr>Plant and IPM Supplies</vt:lpstr>
      <vt:lpstr>Distribution</vt:lpstr>
      <vt:lpstr>Marketing &amp; Adv</vt:lpstr>
      <vt:lpstr>Salaries and Training</vt:lpstr>
      <vt:lpstr>Water Quality</vt:lpstr>
      <vt:lpstr>Nutrients and Adjusters</vt:lpstr>
      <vt:lpstr>Office Supplies</vt:lpstr>
      <vt:lpstr>Other Operating exp</vt:lpstr>
      <vt:lpstr>Pro Forma Income Statement</vt:lpstr>
      <vt:lpstr>2 yr monthly cash flow</vt:lpstr>
      <vt:lpstr>Summary Data</vt:lpstr>
      <vt:lpstr>Report Tables</vt:lpstr>
      <vt:lpstr>'Pro Forma Income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 Sawyer</dc:creator>
  <cp:lastModifiedBy>JD Sawyer</cp:lastModifiedBy>
  <cp:lastPrinted>2020-05-02T12:41:31Z</cp:lastPrinted>
  <dcterms:created xsi:type="dcterms:W3CDTF">2019-02-08T22:53:54Z</dcterms:created>
  <dcterms:modified xsi:type="dcterms:W3CDTF">2020-06-03T23:57:23Z</dcterms:modified>
</cp:coreProperties>
</file>